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90" windowWidth="15480" windowHeight="11640" tabRatio="898" activeTab="2"/>
  </bookViews>
  <sheets>
    <sheet name="Краткая инструкция" sheetId="35" r:id="rId1"/>
    <sheet name="Ф1-ОУ" sheetId="28" r:id="rId2"/>
    <sheet name="Ф2-ОУ" sheetId="26" r:id="rId3"/>
    <sheet name="Ф3-ОУ" sheetId="27" r:id="rId4"/>
    <sheet name="Ф4-ОУ" sheetId="30" r:id="rId5"/>
    <sheet name="Ф1-Г1" sheetId="7" r:id="rId6"/>
    <sheet name="Ф2-Г1" sheetId="1" r:id="rId7"/>
    <sheet name="Ф3-Г1" sheetId="2" r:id="rId8"/>
    <sheet name="Ф4-Г1" sheetId="14" r:id="rId9"/>
    <sheet name="Ф1-Г2" sheetId="19" r:id="rId10"/>
    <sheet name="Ф2-Г2" sheetId="23" r:id="rId11"/>
    <sheet name="Ф3-Г2" sheetId="21" r:id="rId12"/>
    <sheet name="Ф4-Г2" sheetId="22" r:id="rId13"/>
    <sheet name="Ф1-Г3" sheetId="31" r:id="rId14"/>
    <sheet name="Ф2-Г3" sheetId="32" r:id="rId15"/>
    <sheet name="Ф3-Г3" sheetId="33" r:id="rId16"/>
    <sheet name="Ф4-Г3" sheetId="34" r:id="rId17"/>
    <sheet name="Отчет МОУО" sheetId="17" r:id="rId18"/>
  </sheets>
  <calcPr calcId="144525"/>
</workbook>
</file>

<file path=xl/calcChain.xml><?xml version="1.0" encoding="utf-8"?>
<calcChain xmlns="http://schemas.openxmlformats.org/spreadsheetml/2006/main">
  <c r="U46" i="32" l="1"/>
  <c r="T37" i="32" l="1"/>
  <c r="N37" i="32"/>
  <c r="T37" i="23"/>
  <c r="N37" i="23"/>
  <c r="T37" i="1"/>
  <c r="N37" i="1"/>
  <c r="B6" i="30"/>
  <c r="C6" i="28"/>
  <c r="C7" i="17" s="1"/>
  <c r="N1" i="34"/>
  <c r="C2" i="33"/>
  <c r="S49" i="32"/>
  <c r="AC8" i="34" s="1"/>
  <c r="R49" i="32"/>
  <c r="AA8" i="34" s="1"/>
  <c r="Q49" i="32"/>
  <c r="Y8" i="34" s="1"/>
  <c r="P49" i="32"/>
  <c r="O49" i="32"/>
  <c r="U8" i="34" s="1"/>
  <c r="M49" i="32"/>
  <c r="L8" i="34" s="1"/>
  <c r="L49" i="32"/>
  <c r="J8" i="34" s="1"/>
  <c r="K49" i="32"/>
  <c r="H8" i="34" s="1"/>
  <c r="J49" i="32"/>
  <c r="F8" i="34" s="1"/>
  <c r="I49" i="32"/>
  <c r="S48" i="32"/>
  <c r="AC7" i="34" s="1"/>
  <c r="R48" i="32"/>
  <c r="AA7" i="34" s="1"/>
  <c r="Q48" i="32"/>
  <c r="Y7" i="34" s="1"/>
  <c r="P48" i="32"/>
  <c r="W7" i="34" s="1"/>
  <c r="O48" i="32"/>
  <c r="U7" i="34" s="1"/>
  <c r="M48" i="32"/>
  <c r="L7" i="34" s="1"/>
  <c r="L48" i="32"/>
  <c r="J7" i="34" s="1"/>
  <c r="K48" i="32"/>
  <c r="J48" i="32"/>
  <c r="F7" i="34" s="1"/>
  <c r="I48" i="32"/>
  <c r="S47" i="32"/>
  <c r="AC6" i="34" s="1"/>
  <c r="R47" i="32"/>
  <c r="AA6" i="34" s="1"/>
  <c r="Q47" i="32"/>
  <c r="Y6" i="34" s="1"/>
  <c r="P47" i="32"/>
  <c r="W6" i="34" s="1"/>
  <c r="O47" i="32"/>
  <c r="U6" i="34" s="1"/>
  <c r="M47" i="32"/>
  <c r="L6" i="34" s="1"/>
  <c r="L47" i="32"/>
  <c r="J6" i="34" s="1"/>
  <c r="K47" i="32"/>
  <c r="H6" i="34" s="1"/>
  <c r="J47" i="32"/>
  <c r="F6" i="34" s="1"/>
  <c r="I47" i="32"/>
  <c r="AA46" i="32"/>
  <c r="V46" i="32"/>
  <c r="T46" i="32"/>
  <c r="N46" i="32"/>
  <c r="Y46" i="32" s="1"/>
  <c r="D46" i="32"/>
  <c r="C46" i="32"/>
  <c r="B46" i="32"/>
  <c r="AA45" i="32"/>
  <c r="T45" i="32"/>
  <c r="N45" i="32"/>
  <c r="D45" i="32"/>
  <c r="C45" i="32"/>
  <c r="B45" i="32"/>
  <c r="AA44" i="32"/>
  <c r="T44" i="32"/>
  <c r="N44" i="32"/>
  <c r="Y44" i="32"/>
  <c r="D44" i="32"/>
  <c r="C44" i="32"/>
  <c r="B44" i="32"/>
  <c r="AA43" i="32"/>
  <c r="T43" i="32"/>
  <c r="N43" i="32"/>
  <c r="D43" i="32"/>
  <c r="C43" i="32"/>
  <c r="B43" i="32"/>
  <c r="AA42" i="32"/>
  <c r="T42" i="32"/>
  <c r="N42" i="32"/>
  <c r="Y42" i="32" s="1"/>
  <c r="D42" i="32"/>
  <c r="C42" i="32"/>
  <c r="B42" i="32"/>
  <c r="AA41" i="32"/>
  <c r="T41" i="32"/>
  <c r="N41" i="32"/>
  <c r="D41" i="32"/>
  <c r="C41" i="32"/>
  <c r="B41" i="32"/>
  <c r="AA40" i="32"/>
  <c r="T40" i="32"/>
  <c r="N40" i="32"/>
  <c r="Y40" i="32"/>
  <c r="D40" i="32"/>
  <c r="C40" i="32"/>
  <c r="B40" i="32"/>
  <c r="AA39" i="32"/>
  <c r="T39" i="32"/>
  <c r="N39" i="32"/>
  <c r="D39" i="32"/>
  <c r="C39" i="32"/>
  <c r="B39" i="32"/>
  <c r="AA38" i="32"/>
  <c r="T38" i="32"/>
  <c r="N38" i="32"/>
  <c r="Y38" i="32" s="1"/>
  <c r="D38" i="32"/>
  <c r="C38" i="32"/>
  <c r="B38" i="32"/>
  <c r="AA37" i="32"/>
  <c r="Y37" i="32"/>
  <c r="AC37" i="32"/>
  <c r="D37" i="32"/>
  <c r="C37" i="32"/>
  <c r="B37" i="32"/>
  <c r="AA36" i="32"/>
  <c r="T36" i="32"/>
  <c r="N36" i="32"/>
  <c r="D36" i="32"/>
  <c r="C36" i="32"/>
  <c r="B36" i="32"/>
  <c r="AA35" i="32"/>
  <c r="T35" i="32"/>
  <c r="N35" i="32"/>
  <c r="D35" i="32"/>
  <c r="C35" i="32"/>
  <c r="B35" i="32"/>
  <c r="AA34" i="32"/>
  <c r="T34" i="32"/>
  <c r="N34" i="32"/>
  <c r="D34" i="32"/>
  <c r="C34" i="32"/>
  <c r="B34" i="32"/>
  <c r="AA33" i="32"/>
  <c r="T33" i="32"/>
  <c r="N33" i="32"/>
  <c r="Y33" i="32" s="1"/>
  <c r="D33" i="32"/>
  <c r="C33" i="32"/>
  <c r="B33" i="32"/>
  <c r="AA32" i="32"/>
  <c r="T32" i="32"/>
  <c r="N32" i="32"/>
  <c r="U32" i="32" s="1"/>
  <c r="AB32" i="32" s="1"/>
  <c r="W32" i="32" s="1"/>
  <c r="D32" i="32"/>
  <c r="C32" i="32"/>
  <c r="B32" i="32"/>
  <c r="AA31" i="32"/>
  <c r="T31" i="32"/>
  <c r="U31" i="32"/>
  <c r="D31" i="32"/>
  <c r="C31" i="32"/>
  <c r="B31" i="32"/>
  <c r="AA30" i="32"/>
  <c r="T30" i="32"/>
  <c r="D30" i="32"/>
  <c r="C30" i="32"/>
  <c r="B30" i="32"/>
  <c r="AA29" i="32"/>
  <c r="T29" i="32"/>
  <c r="N29" i="32"/>
  <c r="Y29" i="32" s="1"/>
  <c r="D29" i="32"/>
  <c r="C29" i="32"/>
  <c r="B29" i="32"/>
  <c r="AA28" i="32"/>
  <c r="T28" i="32"/>
  <c r="N28" i="32"/>
  <c r="Y28" i="32" s="1"/>
  <c r="D28" i="32"/>
  <c r="C28" i="32"/>
  <c r="B28" i="32"/>
  <c r="AA27" i="32"/>
  <c r="T27" i="32"/>
  <c r="N27" i="32"/>
  <c r="Y27" i="32" s="1"/>
  <c r="D27" i="32"/>
  <c r="C27" i="32"/>
  <c r="B27" i="32"/>
  <c r="AA26" i="32"/>
  <c r="T26" i="32"/>
  <c r="N26" i="32"/>
  <c r="Y26" i="32" s="1"/>
  <c r="D26" i="32"/>
  <c r="C26" i="32"/>
  <c r="B26" i="32"/>
  <c r="AA25" i="32"/>
  <c r="T25" i="32"/>
  <c r="N25" i="32"/>
  <c r="Y25" i="32" s="1"/>
  <c r="D25" i="32"/>
  <c r="C25" i="32"/>
  <c r="B25" i="32"/>
  <c r="AA24" i="32"/>
  <c r="T24" i="32"/>
  <c r="N24" i="32"/>
  <c r="Y24" i="32" s="1"/>
  <c r="D24" i="32"/>
  <c r="C24" i="32"/>
  <c r="B24" i="32"/>
  <c r="AA23" i="32"/>
  <c r="T23" i="32"/>
  <c r="N23" i="32"/>
  <c r="Y23" i="32" s="1"/>
  <c r="D23" i="32"/>
  <c r="C23" i="32"/>
  <c r="B23" i="32"/>
  <c r="AA22" i="32"/>
  <c r="T22" i="32"/>
  <c r="N22" i="32"/>
  <c r="Y22" i="32" s="1"/>
  <c r="D22" i="32"/>
  <c r="C22" i="32"/>
  <c r="B22" i="32"/>
  <c r="AA21" i="32"/>
  <c r="T21" i="32"/>
  <c r="N21" i="32"/>
  <c r="Y21" i="32" s="1"/>
  <c r="D21" i="32"/>
  <c r="C21" i="32"/>
  <c r="B21" i="32"/>
  <c r="AA20" i="32"/>
  <c r="T20" i="32"/>
  <c r="N20" i="32"/>
  <c r="Y20" i="32" s="1"/>
  <c r="D20" i="32"/>
  <c r="C20" i="32"/>
  <c r="B20" i="32"/>
  <c r="AA19" i="32"/>
  <c r="T19" i="32"/>
  <c r="N19" i="32"/>
  <c r="U19" i="32" s="1"/>
  <c r="D19" i="32"/>
  <c r="C19" i="32"/>
  <c r="B19" i="32"/>
  <c r="AA18" i="32"/>
  <c r="T18" i="32"/>
  <c r="D18" i="32"/>
  <c r="C18" i="32"/>
  <c r="B18" i="32"/>
  <c r="AA17" i="32"/>
  <c r="T17" i="32"/>
  <c r="N17" i="32"/>
  <c r="Y17" i="32" s="1"/>
  <c r="D17" i="32"/>
  <c r="C17" i="32"/>
  <c r="B17" i="32"/>
  <c r="AA16" i="32"/>
  <c r="T16" i="32"/>
  <c r="D16" i="32"/>
  <c r="C16" i="32"/>
  <c r="B16" i="32"/>
  <c r="AA15" i="32"/>
  <c r="T15" i="32"/>
  <c r="N15" i="32"/>
  <c r="U15" i="32" s="1"/>
  <c r="D15" i="32"/>
  <c r="C15" i="32"/>
  <c r="B15" i="32"/>
  <c r="AA14" i="32"/>
  <c r="T14" i="32"/>
  <c r="N14" i="32"/>
  <c r="U14" i="32" s="1"/>
  <c r="D14" i="32"/>
  <c r="C14" i="32"/>
  <c r="B14" i="32"/>
  <c r="AA13" i="32"/>
  <c r="T13" i="32"/>
  <c r="N13" i="32"/>
  <c r="Y13" i="32" s="1"/>
  <c r="D13" i="32"/>
  <c r="C13" i="32"/>
  <c r="B13" i="32"/>
  <c r="AA12" i="32"/>
  <c r="T12" i="32"/>
  <c r="N12" i="32"/>
  <c r="Y12" i="32" s="1"/>
  <c r="D12" i="32"/>
  <c r="C12" i="32"/>
  <c r="B12" i="32"/>
  <c r="C6" i="31"/>
  <c r="C5" i="31"/>
  <c r="G1" i="31" s="1"/>
  <c r="C4" i="31"/>
  <c r="C3" i="31"/>
  <c r="C2" i="21"/>
  <c r="N1" i="22"/>
  <c r="B5" i="30"/>
  <c r="B4" i="30"/>
  <c r="C4" i="28"/>
  <c r="C3" i="28"/>
  <c r="C6" i="19"/>
  <c r="C5" i="19"/>
  <c r="C4" i="19"/>
  <c r="C3" i="19"/>
  <c r="S49" i="23"/>
  <c r="AC8" i="22" s="1"/>
  <c r="R49" i="23"/>
  <c r="AA8" i="22" s="1"/>
  <c r="Q49" i="23"/>
  <c r="Y8" i="22" s="1"/>
  <c r="P49" i="23"/>
  <c r="W8" i="22" s="1"/>
  <c r="O49" i="23"/>
  <c r="U8" i="22" s="1"/>
  <c r="M49" i="23"/>
  <c r="L49" i="23"/>
  <c r="J8" i="22" s="1"/>
  <c r="K49" i="23"/>
  <c r="H8" i="22" s="1"/>
  <c r="J49" i="23"/>
  <c r="F8" i="22" s="1"/>
  <c r="I49" i="23"/>
  <c r="D8" i="22" s="1"/>
  <c r="S48" i="23"/>
  <c r="AC7" i="22" s="1"/>
  <c r="R48" i="23"/>
  <c r="AA7" i="22" s="1"/>
  <c r="Q48" i="23"/>
  <c r="Y7" i="22" s="1"/>
  <c r="P48" i="23"/>
  <c r="W7" i="22" s="1"/>
  <c r="O48" i="23"/>
  <c r="U7" i="22" s="1"/>
  <c r="M48" i="23"/>
  <c r="L48" i="23"/>
  <c r="J7" i="22" s="1"/>
  <c r="K48" i="23"/>
  <c r="H7" i="22" s="1"/>
  <c r="J48" i="23"/>
  <c r="F7" i="22" s="1"/>
  <c r="I48" i="23"/>
  <c r="D7" i="22" s="1"/>
  <c r="S47" i="23"/>
  <c r="AC6" i="22" s="1"/>
  <c r="R47" i="23"/>
  <c r="AA6" i="22" s="1"/>
  <c r="Q47" i="23"/>
  <c r="Y6" i="22" s="1"/>
  <c r="P47" i="23"/>
  <c r="W6" i="22" s="1"/>
  <c r="O47" i="23"/>
  <c r="U6" i="22" s="1"/>
  <c r="M47" i="23"/>
  <c r="L6" i="22" s="1"/>
  <c r="L47" i="23"/>
  <c r="J6" i="22" s="1"/>
  <c r="K47" i="23"/>
  <c r="H6" i="22" s="1"/>
  <c r="J47" i="23"/>
  <c r="F6" i="22" s="1"/>
  <c r="I47" i="23"/>
  <c r="AA46" i="23"/>
  <c r="T46" i="23"/>
  <c r="N46" i="23"/>
  <c r="Y46" i="23"/>
  <c r="AA45" i="23"/>
  <c r="T45" i="23"/>
  <c r="N45" i="23"/>
  <c r="AA44" i="23"/>
  <c r="T44" i="23"/>
  <c r="N44" i="23"/>
  <c r="Y44" i="23" s="1"/>
  <c r="AA43" i="23"/>
  <c r="T43" i="23"/>
  <c r="N43" i="23"/>
  <c r="AA42" i="23"/>
  <c r="T42" i="23"/>
  <c r="N42" i="23"/>
  <c r="Y42" i="23" s="1"/>
  <c r="AA41" i="23"/>
  <c r="T41" i="23"/>
  <c r="N41" i="23"/>
  <c r="AA40" i="23"/>
  <c r="T40" i="23"/>
  <c r="N40" i="23"/>
  <c r="Y40" i="23"/>
  <c r="AA39" i="23"/>
  <c r="T39" i="23"/>
  <c r="N39" i="23"/>
  <c r="AA38" i="23"/>
  <c r="T38" i="23"/>
  <c r="N38" i="23"/>
  <c r="Y38" i="23"/>
  <c r="AA37" i="23"/>
  <c r="Y37" i="23"/>
  <c r="AA36" i="23"/>
  <c r="T36" i="23"/>
  <c r="N36" i="23"/>
  <c r="Y36" i="23" s="1"/>
  <c r="AA35" i="23"/>
  <c r="AB35" i="23"/>
  <c r="T35" i="23"/>
  <c r="N35" i="23"/>
  <c r="Y35" i="23"/>
  <c r="AA34" i="23"/>
  <c r="T34" i="23"/>
  <c r="N34" i="23"/>
  <c r="AA33" i="23"/>
  <c r="AB33" i="23"/>
  <c r="T33" i="23"/>
  <c r="N33" i="23"/>
  <c r="Y33" i="23" s="1"/>
  <c r="AA32" i="23"/>
  <c r="T32" i="23"/>
  <c r="N32" i="23"/>
  <c r="U32" i="23" s="1"/>
  <c r="AB32" i="23" s="1"/>
  <c r="W32" i="23" s="1"/>
  <c r="D32" i="23"/>
  <c r="C32" i="23"/>
  <c r="B32" i="23"/>
  <c r="AA31" i="23"/>
  <c r="T31" i="23"/>
  <c r="N31" i="23"/>
  <c r="U31" i="23" s="1"/>
  <c r="D31" i="23"/>
  <c r="C31" i="23"/>
  <c r="B31" i="23"/>
  <c r="AA30" i="23"/>
  <c r="T30" i="23"/>
  <c r="N30" i="23"/>
  <c r="U30" i="23" s="1"/>
  <c r="AB30" i="23" s="1"/>
  <c r="W30" i="23" s="1"/>
  <c r="D30" i="23"/>
  <c r="C30" i="23"/>
  <c r="B30" i="23"/>
  <c r="AA29" i="23"/>
  <c r="T29" i="23"/>
  <c r="N29" i="23"/>
  <c r="Y29" i="23" s="1"/>
  <c r="D29" i="23"/>
  <c r="C29" i="23"/>
  <c r="B29" i="23"/>
  <c r="AA28" i="23"/>
  <c r="T28" i="23"/>
  <c r="N28" i="23"/>
  <c r="Y28" i="23" s="1"/>
  <c r="D28" i="23"/>
  <c r="C28" i="23"/>
  <c r="B28" i="23"/>
  <c r="AA27" i="23"/>
  <c r="T27" i="23"/>
  <c r="N27" i="23"/>
  <c r="Y27" i="23" s="1"/>
  <c r="D27" i="23"/>
  <c r="C27" i="23"/>
  <c r="B27" i="23"/>
  <c r="AA26" i="23"/>
  <c r="T26" i="23"/>
  <c r="N26" i="23"/>
  <c r="Y26" i="23" s="1"/>
  <c r="D26" i="23"/>
  <c r="C26" i="23"/>
  <c r="B26" i="23"/>
  <c r="AA25" i="23"/>
  <c r="T25" i="23"/>
  <c r="N25" i="23"/>
  <c r="U25" i="23" s="1"/>
  <c r="D25" i="23"/>
  <c r="C25" i="23"/>
  <c r="B25" i="23"/>
  <c r="AA24" i="23"/>
  <c r="T24" i="23"/>
  <c r="N24" i="23"/>
  <c r="Y24" i="23" s="1"/>
  <c r="D24" i="23"/>
  <c r="C24" i="23"/>
  <c r="B24" i="23"/>
  <c r="AA23" i="23"/>
  <c r="T23" i="23"/>
  <c r="N23" i="23"/>
  <c r="U23" i="23" s="1"/>
  <c r="D23" i="23"/>
  <c r="C23" i="23"/>
  <c r="B23" i="23"/>
  <c r="AA22" i="23"/>
  <c r="T22" i="23"/>
  <c r="N22" i="23"/>
  <c r="Y22" i="23" s="1"/>
  <c r="D22" i="23"/>
  <c r="C22" i="23"/>
  <c r="B22" i="23"/>
  <c r="AA21" i="23"/>
  <c r="T21" i="23"/>
  <c r="N21" i="23"/>
  <c r="U21" i="23" s="1"/>
  <c r="D21" i="23"/>
  <c r="C21" i="23"/>
  <c r="B21" i="23"/>
  <c r="AA20" i="23"/>
  <c r="T20" i="23"/>
  <c r="N20" i="23"/>
  <c r="U20" i="23" s="1"/>
  <c r="D20" i="23"/>
  <c r="C20" i="23"/>
  <c r="B20" i="23"/>
  <c r="AA19" i="23"/>
  <c r="T19" i="23"/>
  <c r="N19" i="23"/>
  <c r="U19" i="23" s="1"/>
  <c r="AB19" i="23" s="1"/>
  <c r="W19" i="23" s="1"/>
  <c r="D19" i="23"/>
  <c r="C19" i="23"/>
  <c r="B19" i="23"/>
  <c r="AA18" i="23"/>
  <c r="T18" i="23"/>
  <c r="N18" i="23"/>
  <c r="U18" i="23" s="1"/>
  <c r="AB18" i="23" s="1"/>
  <c r="W18" i="23" s="1"/>
  <c r="D18" i="23"/>
  <c r="C18" i="23"/>
  <c r="B18" i="23"/>
  <c r="AA17" i="23"/>
  <c r="T17" i="23"/>
  <c r="N17" i="23"/>
  <c r="U17" i="23" s="1"/>
  <c r="D17" i="23"/>
  <c r="C17" i="23"/>
  <c r="B17" i="23"/>
  <c r="AA16" i="23"/>
  <c r="T16" i="23"/>
  <c r="N16" i="23"/>
  <c r="Y16" i="23" s="1"/>
  <c r="D16" i="23"/>
  <c r="C16" i="23"/>
  <c r="B16" i="23"/>
  <c r="AA15" i="23"/>
  <c r="T15" i="23"/>
  <c r="N15" i="23"/>
  <c r="U15" i="23" s="1"/>
  <c r="D15" i="23"/>
  <c r="C15" i="23"/>
  <c r="B15" i="23"/>
  <c r="AA14" i="23"/>
  <c r="T14" i="23"/>
  <c r="N14" i="23"/>
  <c r="Y14" i="23" s="1"/>
  <c r="D14" i="23"/>
  <c r="C14" i="23"/>
  <c r="B14" i="23"/>
  <c r="AA13" i="23"/>
  <c r="T13" i="23"/>
  <c r="N13" i="23"/>
  <c r="U13" i="23" s="1"/>
  <c r="D13" i="23"/>
  <c r="C13" i="23"/>
  <c r="B13" i="23"/>
  <c r="AA12" i="23"/>
  <c r="T12" i="23"/>
  <c r="N12" i="23"/>
  <c r="U12" i="23" s="1"/>
  <c r="AB12" i="23" s="1"/>
  <c r="W12" i="23" s="1"/>
  <c r="D12" i="23"/>
  <c r="C12" i="23"/>
  <c r="B12" i="23"/>
  <c r="G1" i="19"/>
  <c r="AC41" i="1"/>
  <c r="AC45" i="1"/>
  <c r="T12" i="1"/>
  <c r="N15" i="1"/>
  <c r="Y15" i="1" s="1"/>
  <c r="AC39" i="1"/>
  <c r="AC43" i="1"/>
  <c r="AC37" i="1"/>
  <c r="N12" i="1"/>
  <c r="Y12" i="1" s="1"/>
  <c r="I47" i="1"/>
  <c r="N44" i="1"/>
  <c r="Y44" i="1" s="1"/>
  <c r="N14" i="1"/>
  <c r="Y14" i="1" s="1"/>
  <c r="N16" i="1"/>
  <c r="U16" i="1" s="1"/>
  <c r="N17" i="1"/>
  <c r="Y17" i="1" s="1"/>
  <c r="N18" i="1"/>
  <c r="Y18" i="1" s="1"/>
  <c r="N19" i="1"/>
  <c r="U19" i="1" s="1"/>
  <c r="N20" i="1"/>
  <c r="Y20" i="1" s="1"/>
  <c r="N21" i="1"/>
  <c r="U21" i="1" s="1"/>
  <c r="N22" i="1"/>
  <c r="U22" i="1" s="1"/>
  <c r="AB22" i="1" s="1"/>
  <c r="N23" i="1"/>
  <c r="U23" i="1" s="1"/>
  <c r="N24" i="1"/>
  <c r="U24" i="1" s="1"/>
  <c r="N25" i="1"/>
  <c r="Y25" i="1" s="1"/>
  <c r="N26" i="1"/>
  <c r="U26" i="1" s="1"/>
  <c r="AB26" i="1" s="1"/>
  <c r="N27" i="1"/>
  <c r="Y27" i="1" s="1"/>
  <c r="N28" i="1"/>
  <c r="U28" i="1" s="1"/>
  <c r="AB28" i="1" s="1"/>
  <c r="N29" i="1"/>
  <c r="Y29" i="1" s="1"/>
  <c r="N30" i="1"/>
  <c r="Y30" i="1" s="1"/>
  <c r="N31" i="1"/>
  <c r="U31" i="1" s="1"/>
  <c r="Y32" i="1"/>
  <c r="N33" i="1"/>
  <c r="N34" i="1"/>
  <c r="Y34" i="1" s="1"/>
  <c r="N35" i="1"/>
  <c r="AB35" i="1" s="1"/>
  <c r="N36" i="1"/>
  <c r="AB36" i="1" s="1"/>
  <c r="Y37" i="1"/>
  <c r="N38" i="1"/>
  <c r="Y38" i="1"/>
  <c r="N39" i="1"/>
  <c r="Y39" i="1"/>
  <c r="N40" i="1"/>
  <c r="Y40" i="1"/>
  <c r="N41" i="1"/>
  <c r="Y41" i="1"/>
  <c r="N42" i="1"/>
  <c r="Y42" i="1"/>
  <c r="N43" i="1"/>
  <c r="Y43" i="1"/>
  <c r="N45" i="1"/>
  <c r="Y45" i="1"/>
  <c r="N46" i="1"/>
  <c r="Y46" i="1"/>
  <c r="N1" i="14"/>
  <c r="N13" i="1"/>
  <c r="Y13" i="1" s="1"/>
  <c r="A7" i="17"/>
  <c r="AB39" i="1"/>
  <c r="AB41" i="1"/>
  <c r="AB43" i="1"/>
  <c r="AB45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12" i="1"/>
  <c r="O47" i="1"/>
  <c r="U6" i="14" s="1"/>
  <c r="P47" i="1"/>
  <c r="W6" i="14" s="1"/>
  <c r="Q47" i="1"/>
  <c r="Y6" i="14" s="1"/>
  <c r="R47" i="1"/>
  <c r="S47" i="1"/>
  <c r="AC6" i="14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2" i="1"/>
  <c r="C4" i="7"/>
  <c r="C3" i="7"/>
  <c r="C6" i="7"/>
  <c r="P49" i="1"/>
  <c r="Q49" i="1"/>
  <c r="Y8" i="14" s="1"/>
  <c r="R49" i="1"/>
  <c r="S49" i="1"/>
  <c r="AC8" i="14" s="1"/>
  <c r="O49" i="1"/>
  <c r="U8" i="14" s="1"/>
  <c r="P48" i="1"/>
  <c r="W7" i="14" s="1"/>
  <c r="Q48" i="1"/>
  <c r="R48" i="1"/>
  <c r="AA7" i="14" s="1"/>
  <c r="S48" i="1"/>
  <c r="AC7" i="14" s="1"/>
  <c r="O48" i="1"/>
  <c r="U7" i="14" s="1"/>
  <c r="I49" i="1"/>
  <c r="J49" i="1"/>
  <c r="F8" i="14" s="1"/>
  <c r="K49" i="1"/>
  <c r="H8" i="14" s="1"/>
  <c r="L49" i="1"/>
  <c r="J8" i="14" s="1"/>
  <c r="M49" i="1"/>
  <c r="L8" i="14" s="1"/>
  <c r="I48" i="1"/>
  <c r="D7" i="14" s="1"/>
  <c r="J48" i="1"/>
  <c r="F7" i="14" s="1"/>
  <c r="K48" i="1"/>
  <c r="H7" i="14" s="1"/>
  <c r="L48" i="1"/>
  <c r="M48" i="1"/>
  <c r="J47" i="1"/>
  <c r="F6" i="14" s="1"/>
  <c r="K47" i="1"/>
  <c r="L47" i="1"/>
  <c r="J6" i="14" s="1"/>
  <c r="M47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4" i="1"/>
  <c r="T35" i="1"/>
  <c r="T36" i="1"/>
  <c r="T38" i="1"/>
  <c r="T39" i="1"/>
  <c r="T40" i="1"/>
  <c r="T41" i="1"/>
  <c r="T42" i="1"/>
  <c r="T43" i="1"/>
  <c r="T44" i="1"/>
  <c r="T45" i="1"/>
  <c r="T46" i="1"/>
  <c r="C5" i="7"/>
  <c r="G1" i="7" s="1"/>
  <c r="C2" i="2"/>
  <c r="U20" i="1"/>
  <c r="AB20" i="1" s="1"/>
  <c r="W20" i="1" s="1"/>
  <c r="U18" i="1"/>
  <c r="U17" i="1"/>
  <c r="AB17" i="1" s="1"/>
  <c r="W17" i="1" s="1"/>
  <c r="U14" i="1"/>
  <c r="AB14" i="1" s="1"/>
  <c r="W14" i="1" s="1"/>
  <c r="U13" i="1"/>
  <c r="Y12" i="23"/>
  <c r="Y34" i="23"/>
  <c r="AB34" i="23"/>
  <c r="AC35" i="23"/>
  <c r="AB36" i="23"/>
  <c r="AB38" i="23"/>
  <c r="AB40" i="23"/>
  <c r="AB42" i="23"/>
  <c r="AC44" i="23"/>
  <c r="AB44" i="23"/>
  <c r="AB46" i="23"/>
  <c r="AC33" i="23"/>
  <c r="Y39" i="23"/>
  <c r="AC39" i="23"/>
  <c r="Y41" i="23"/>
  <c r="AB41" i="23"/>
  <c r="Y43" i="23"/>
  <c r="AC43" i="23"/>
  <c r="Y45" i="23"/>
  <c r="AB45" i="23"/>
  <c r="AB37" i="23"/>
  <c r="AB39" i="23"/>
  <c r="AC36" i="23"/>
  <c r="AB43" i="23"/>
  <c r="AC34" i="23"/>
  <c r="AC45" i="23"/>
  <c r="AC41" i="23"/>
  <c r="U12" i="32"/>
  <c r="AB12" i="32" s="1"/>
  <c r="W12" i="32" s="1"/>
  <c r="Y14" i="32"/>
  <c r="Y16" i="32"/>
  <c r="U16" i="32"/>
  <c r="AB16" i="32" s="1"/>
  <c r="W16" i="32" s="1"/>
  <c r="Y18" i="32"/>
  <c r="U18" i="32"/>
  <c r="AB18" i="32" s="1"/>
  <c r="Y41" i="32"/>
  <c r="AC41" i="32"/>
  <c r="W8" i="34"/>
  <c r="Y43" i="32"/>
  <c r="AB43" i="32"/>
  <c r="H7" i="34"/>
  <c r="Y45" i="32"/>
  <c r="AC45" i="32"/>
  <c r="Y39" i="32"/>
  <c r="AC39" i="32"/>
  <c r="U20" i="32"/>
  <c r="Y30" i="32"/>
  <c r="U30" i="32"/>
  <c r="AB30" i="32" s="1"/>
  <c r="W30" i="32" s="1"/>
  <c r="Y32" i="32"/>
  <c r="Y34" i="32"/>
  <c r="AB34" i="32"/>
  <c r="Y36" i="32"/>
  <c r="AB36" i="32"/>
  <c r="AB38" i="32"/>
  <c r="AB40" i="32"/>
  <c r="AB42" i="32"/>
  <c r="AB44" i="32"/>
  <c r="AB46" i="32"/>
  <c r="W46" i="32"/>
  <c r="AB37" i="32"/>
  <c r="AB39" i="32"/>
  <c r="AB45" i="32"/>
  <c r="AC38" i="32"/>
  <c r="AC42" i="32"/>
  <c r="AC46" i="32"/>
  <c r="AC40" i="32"/>
  <c r="AC44" i="32"/>
  <c r="AC43" i="32"/>
  <c r="D8" i="34"/>
  <c r="D6" i="34"/>
  <c r="I50" i="32"/>
  <c r="AB41" i="32"/>
  <c r="D7" i="34"/>
  <c r="AC38" i="23"/>
  <c r="AC42" i="23"/>
  <c r="AC46" i="23"/>
  <c r="L8" i="22"/>
  <c r="L7" i="22"/>
  <c r="AC37" i="23"/>
  <c r="AC44" i="1"/>
  <c r="AB44" i="1"/>
  <c r="AC40" i="1"/>
  <c r="AB40" i="1"/>
  <c r="N47" i="1"/>
  <c r="AC46" i="1"/>
  <c r="AB46" i="1"/>
  <c r="AC42" i="1"/>
  <c r="AB42" i="1"/>
  <c r="AC38" i="1"/>
  <c r="AB38" i="1"/>
  <c r="AB37" i="1"/>
  <c r="AC40" i="23" l="1"/>
  <c r="D10" i="33"/>
  <c r="U21" i="32"/>
  <c r="AC36" i="32"/>
  <c r="U29" i="23"/>
  <c r="J7" i="27"/>
  <c r="I50" i="23"/>
  <c r="C9" i="21" s="1"/>
  <c r="Y20" i="23"/>
  <c r="Y32" i="23"/>
  <c r="U16" i="23"/>
  <c r="AB16" i="23" s="1"/>
  <c r="W16" i="23" s="1"/>
  <c r="F6" i="27"/>
  <c r="V24" i="1"/>
  <c r="AC24" i="1" s="1"/>
  <c r="Y24" i="1"/>
  <c r="AB24" i="1"/>
  <c r="W24" i="1" s="1"/>
  <c r="U7" i="27"/>
  <c r="Y36" i="1"/>
  <c r="W22" i="1"/>
  <c r="U30" i="1"/>
  <c r="AB30" i="1" s="1"/>
  <c r="W30" i="1" s="1"/>
  <c r="AB34" i="1"/>
  <c r="AB35" i="32"/>
  <c r="AC35" i="32"/>
  <c r="Y35" i="32"/>
  <c r="U33" i="32"/>
  <c r="AB31" i="32"/>
  <c r="W31" i="32" s="1"/>
  <c r="V31" i="32"/>
  <c r="AC31" i="32" s="1"/>
  <c r="Y31" i="32"/>
  <c r="V30" i="32"/>
  <c r="U29" i="32"/>
  <c r="U28" i="32"/>
  <c r="U27" i="32"/>
  <c r="U26" i="32"/>
  <c r="U25" i="32"/>
  <c r="AB25" i="32" s="1"/>
  <c r="W25" i="32" s="1"/>
  <c r="U24" i="32"/>
  <c r="U23" i="32"/>
  <c r="D7" i="33"/>
  <c r="U22" i="32"/>
  <c r="R51" i="32"/>
  <c r="AA9" i="34" s="1"/>
  <c r="AB9" i="34" s="1"/>
  <c r="V20" i="32"/>
  <c r="AC20" i="32" s="1"/>
  <c r="AB20" i="32"/>
  <c r="W20" i="32" s="1"/>
  <c r="AB19" i="32"/>
  <c r="W19" i="32" s="1"/>
  <c r="V19" i="32"/>
  <c r="AC19" i="32" s="1"/>
  <c r="D11" i="33"/>
  <c r="Y19" i="32"/>
  <c r="E7" i="33"/>
  <c r="E17" i="33"/>
  <c r="T47" i="32"/>
  <c r="P51" i="32"/>
  <c r="W9" i="34" s="1"/>
  <c r="X9" i="34" s="1"/>
  <c r="V18" i="32"/>
  <c r="W18" i="32"/>
  <c r="U17" i="32"/>
  <c r="V17" i="32" s="1"/>
  <c r="AC17" i="32" s="1"/>
  <c r="C16" i="33"/>
  <c r="M51" i="32"/>
  <c r="L9" i="34" s="1"/>
  <c r="M9" i="34" s="1"/>
  <c r="D17" i="33"/>
  <c r="G6" i="34"/>
  <c r="Z7" i="34"/>
  <c r="D8" i="33"/>
  <c r="E6" i="34"/>
  <c r="E11" i="33"/>
  <c r="D14" i="33"/>
  <c r="T48" i="32"/>
  <c r="C8" i="33"/>
  <c r="D13" i="33"/>
  <c r="C9" i="31"/>
  <c r="D9" i="31" s="1"/>
  <c r="C14" i="33"/>
  <c r="C13" i="33"/>
  <c r="I51" i="32"/>
  <c r="D9" i="34" s="1"/>
  <c r="E9" i="34" s="1"/>
  <c r="G7" i="34"/>
  <c r="C10" i="33"/>
  <c r="E8" i="33"/>
  <c r="K51" i="32"/>
  <c r="H9" i="34" s="1"/>
  <c r="I9" i="34" s="1"/>
  <c r="C11" i="33"/>
  <c r="E13" i="33"/>
  <c r="D15" i="33"/>
  <c r="E16" i="33"/>
  <c r="S51" i="32"/>
  <c r="AC9" i="34" s="1"/>
  <c r="AD9" i="34" s="1"/>
  <c r="C15" i="33"/>
  <c r="Q51" i="32"/>
  <c r="Y9" i="34" s="1"/>
  <c r="Z9" i="34" s="1"/>
  <c r="C7" i="33"/>
  <c r="E9" i="33"/>
  <c r="J51" i="32"/>
  <c r="F9" i="34" s="1"/>
  <c r="G9" i="34" s="1"/>
  <c r="L51" i="32"/>
  <c r="J9" i="34" s="1"/>
  <c r="K9" i="34" s="1"/>
  <c r="D16" i="33"/>
  <c r="C17" i="33"/>
  <c r="E14" i="33"/>
  <c r="C9" i="33"/>
  <c r="O51" i="32"/>
  <c r="U9" i="34" s="1"/>
  <c r="V9" i="34" s="1"/>
  <c r="T49" i="32"/>
  <c r="D9" i="33"/>
  <c r="N49" i="32"/>
  <c r="I7" i="34"/>
  <c r="K6" i="34"/>
  <c r="V16" i="32"/>
  <c r="AC16" i="32" s="1"/>
  <c r="V15" i="32"/>
  <c r="AC15" i="32" s="1"/>
  <c r="AB15" i="32"/>
  <c r="W15" i="32" s="1"/>
  <c r="Y15" i="32"/>
  <c r="AB7" i="34"/>
  <c r="X8" i="34"/>
  <c r="E15" i="33"/>
  <c r="M6" i="34"/>
  <c r="AD7" i="34"/>
  <c r="X6" i="34"/>
  <c r="M7" i="34"/>
  <c r="N47" i="32"/>
  <c r="E10" i="33"/>
  <c r="N48" i="32"/>
  <c r="X46" i="32" s="1"/>
  <c r="U13" i="32"/>
  <c r="E7" i="34"/>
  <c r="K7" i="34"/>
  <c r="E8" i="34"/>
  <c r="K8" i="34"/>
  <c r="Z8" i="34"/>
  <c r="AD6" i="34"/>
  <c r="X7" i="34"/>
  <c r="I8" i="34"/>
  <c r="I6" i="34"/>
  <c r="V6" i="34"/>
  <c r="AB6" i="34"/>
  <c r="V7" i="34"/>
  <c r="G8" i="34"/>
  <c r="V8" i="34"/>
  <c r="AD8" i="34"/>
  <c r="Z6" i="34"/>
  <c r="M8" i="34"/>
  <c r="AB8" i="34"/>
  <c r="V12" i="32"/>
  <c r="AC12" i="32" s="1"/>
  <c r="AC34" i="32"/>
  <c r="V32" i="32"/>
  <c r="AC32" i="32" s="1"/>
  <c r="AC30" i="32"/>
  <c r="AC18" i="32"/>
  <c r="V14" i="32"/>
  <c r="AC14" i="32" s="1"/>
  <c r="AB14" i="32"/>
  <c r="W14" i="32" s="1"/>
  <c r="V32" i="23"/>
  <c r="AB31" i="23"/>
  <c r="W31" i="23" s="1"/>
  <c r="V31" i="23"/>
  <c r="AC31" i="23" s="1"/>
  <c r="Y31" i="23"/>
  <c r="Y30" i="23"/>
  <c r="U28" i="23"/>
  <c r="U27" i="23"/>
  <c r="U26" i="23"/>
  <c r="Y25" i="23"/>
  <c r="AB25" i="23"/>
  <c r="W25" i="23" s="1"/>
  <c r="V25" i="23"/>
  <c r="AC25" i="23" s="1"/>
  <c r="U24" i="23"/>
  <c r="V24" i="23" s="1"/>
  <c r="W8" i="27"/>
  <c r="AB23" i="23"/>
  <c r="W23" i="23" s="1"/>
  <c r="V23" i="23"/>
  <c r="AC23" i="23" s="1"/>
  <c r="D8" i="27"/>
  <c r="Y23" i="23"/>
  <c r="AA8" i="27"/>
  <c r="U22" i="23"/>
  <c r="AB22" i="23" s="1"/>
  <c r="W22" i="23" s="1"/>
  <c r="O7" i="17"/>
  <c r="AB21" i="23"/>
  <c r="W21" i="23" s="1"/>
  <c r="V21" i="23"/>
  <c r="AC21" i="23" s="1"/>
  <c r="Y21" i="23"/>
  <c r="V20" i="23"/>
  <c r="AC20" i="23" s="1"/>
  <c r="AB20" i="23"/>
  <c r="W20" i="23" s="1"/>
  <c r="Y7" i="27"/>
  <c r="Y19" i="23"/>
  <c r="H6" i="27"/>
  <c r="Y18" i="23"/>
  <c r="D6" i="22"/>
  <c r="V18" i="23"/>
  <c r="AC18" i="23" s="1"/>
  <c r="Y17" i="23"/>
  <c r="AB17" i="23"/>
  <c r="W17" i="23" s="1"/>
  <c r="V17" i="23"/>
  <c r="AC17" i="23" s="1"/>
  <c r="AA6" i="27"/>
  <c r="L6" i="27"/>
  <c r="Y15" i="23"/>
  <c r="AB15" i="23"/>
  <c r="W15" i="23" s="1"/>
  <c r="V15" i="23"/>
  <c r="AC15" i="23" s="1"/>
  <c r="D6" i="27"/>
  <c r="T47" i="23"/>
  <c r="U14" i="23"/>
  <c r="AB14" i="23" s="1"/>
  <c r="W14" i="23" s="1"/>
  <c r="K51" i="23"/>
  <c r="H9" i="22" s="1"/>
  <c r="I9" i="22" s="1"/>
  <c r="L51" i="23"/>
  <c r="J9" i="22" s="1"/>
  <c r="K9" i="22" s="1"/>
  <c r="C13" i="21"/>
  <c r="C10" i="21"/>
  <c r="N49" i="23"/>
  <c r="C11" i="21"/>
  <c r="E16" i="21"/>
  <c r="Y13" i="23"/>
  <c r="AB13" i="23"/>
  <c r="W13" i="23" s="1"/>
  <c r="V13" i="23"/>
  <c r="AC13" i="23" s="1"/>
  <c r="AB7" i="22"/>
  <c r="I6" i="22"/>
  <c r="N47" i="23"/>
  <c r="V7" i="22"/>
  <c r="Y6" i="27"/>
  <c r="K6" i="22"/>
  <c r="D8" i="21"/>
  <c r="E14" i="21"/>
  <c r="AB8" i="22"/>
  <c r="R51" i="23"/>
  <c r="AA9" i="22" s="1"/>
  <c r="AB9" i="22" s="1"/>
  <c r="E15" i="21"/>
  <c r="AD8" i="22"/>
  <c r="C7" i="21"/>
  <c r="D17" i="21"/>
  <c r="AD7" i="22"/>
  <c r="D14" i="21"/>
  <c r="X8" i="22"/>
  <c r="T49" i="23"/>
  <c r="E10" i="21"/>
  <c r="G8" i="22"/>
  <c r="G7" i="22"/>
  <c r="E8" i="21"/>
  <c r="D10" i="21"/>
  <c r="M6" i="22"/>
  <c r="E7" i="21"/>
  <c r="D7" i="21"/>
  <c r="D15" i="21"/>
  <c r="Z6" i="22"/>
  <c r="D16" i="21"/>
  <c r="AD6" i="22"/>
  <c r="O51" i="23"/>
  <c r="U9" i="22" s="1"/>
  <c r="V9" i="22" s="1"/>
  <c r="C9" i="19"/>
  <c r="D9" i="19" s="1"/>
  <c r="D13" i="21"/>
  <c r="AB6" i="22"/>
  <c r="Q51" i="23"/>
  <c r="Y9" i="22" s="1"/>
  <c r="Z9" i="22" s="1"/>
  <c r="C15" i="21"/>
  <c r="V6" i="22"/>
  <c r="C8" i="21"/>
  <c r="I7" i="22"/>
  <c r="K7" i="22"/>
  <c r="N48" i="23"/>
  <c r="J51" i="23"/>
  <c r="F9" i="22" s="1"/>
  <c r="G9" i="22" s="1"/>
  <c r="M8" i="22"/>
  <c r="E11" i="21"/>
  <c r="D11" i="21"/>
  <c r="K8" i="22"/>
  <c r="C16" i="21"/>
  <c r="V8" i="22"/>
  <c r="C17" i="21"/>
  <c r="Z8" i="22"/>
  <c r="C14" i="21"/>
  <c r="X7" i="22"/>
  <c r="P51" i="23"/>
  <c r="W9" i="22" s="1"/>
  <c r="X9" i="22" s="1"/>
  <c r="T48" i="23"/>
  <c r="E17" i="21"/>
  <c r="Z7" i="22"/>
  <c r="S51" i="23"/>
  <c r="AC9" i="22" s="1"/>
  <c r="AD9" i="22" s="1"/>
  <c r="I51" i="23"/>
  <c r="D9" i="22" s="1"/>
  <c r="E9" i="22" s="1"/>
  <c r="V30" i="23"/>
  <c r="AC30" i="23" s="1"/>
  <c r="V28" i="23"/>
  <c r="AC28" i="23" s="1"/>
  <c r="AB24" i="23"/>
  <c r="W24" i="23" s="1"/>
  <c r="V22" i="23"/>
  <c r="AC22" i="23" s="1"/>
  <c r="V19" i="23"/>
  <c r="AC19" i="23" s="1"/>
  <c r="V12" i="23"/>
  <c r="AC32" i="23"/>
  <c r="AB28" i="23"/>
  <c r="W28" i="23" s="1"/>
  <c r="AC36" i="1"/>
  <c r="Y35" i="1"/>
  <c r="AC33" i="1"/>
  <c r="Y33" i="1"/>
  <c r="W6" i="27"/>
  <c r="AB32" i="1"/>
  <c r="Y31" i="1"/>
  <c r="U6" i="27"/>
  <c r="U29" i="1"/>
  <c r="V29" i="1" s="1"/>
  <c r="AC29" i="1" s="1"/>
  <c r="Y28" i="1"/>
  <c r="W28" i="1"/>
  <c r="U27" i="1"/>
  <c r="V27" i="1" s="1"/>
  <c r="AC27" i="1" s="1"/>
  <c r="J7" i="14"/>
  <c r="Y26" i="1"/>
  <c r="W26" i="1"/>
  <c r="H8" i="27"/>
  <c r="U25" i="1"/>
  <c r="V25" i="1" s="1"/>
  <c r="AC25" i="1" s="1"/>
  <c r="D6" i="14"/>
  <c r="V23" i="1"/>
  <c r="Y23" i="1"/>
  <c r="AB23" i="1"/>
  <c r="AC6" i="27"/>
  <c r="AC7" i="27"/>
  <c r="AA7" i="27"/>
  <c r="Y22" i="1"/>
  <c r="F7" i="27"/>
  <c r="Y21" i="1"/>
  <c r="V21" i="1"/>
  <c r="AC21" i="1" s="1"/>
  <c r="AB21" i="1"/>
  <c r="W21" i="1" s="1"/>
  <c r="J6" i="27"/>
  <c r="F8" i="27"/>
  <c r="V19" i="1"/>
  <c r="AC19" i="1" s="1"/>
  <c r="AB19" i="1"/>
  <c r="W19" i="1" s="1"/>
  <c r="Y19" i="1"/>
  <c r="I50" i="1"/>
  <c r="E11" i="2" s="1"/>
  <c r="Y8" i="27"/>
  <c r="W8" i="14"/>
  <c r="U8" i="27"/>
  <c r="V16" i="1"/>
  <c r="AC16" i="1" s="1"/>
  <c r="Y16" i="1"/>
  <c r="U15" i="1"/>
  <c r="AB15" i="1" s="1"/>
  <c r="W15" i="1" s="1"/>
  <c r="AC8" i="27"/>
  <c r="T47" i="1"/>
  <c r="V14" i="1"/>
  <c r="AC14" i="1" s="1"/>
  <c r="AA8" i="14"/>
  <c r="V13" i="1"/>
  <c r="AC13" i="1" s="1"/>
  <c r="Y7" i="14"/>
  <c r="H6" i="14"/>
  <c r="D8" i="14"/>
  <c r="AA6" i="14"/>
  <c r="W7" i="27"/>
  <c r="L7" i="27"/>
  <c r="L7" i="14"/>
  <c r="L8" i="27"/>
  <c r="L6" i="14"/>
  <c r="J8" i="27"/>
  <c r="H7" i="27"/>
  <c r="D7" i="27"/>
  <c r="U12" i="1"/>
  <c r="V12" i="1" s="1"/>
  <c r="AC12" i="1" s="1"/>
  <c r="AC35" i="1"/>
  <c r="AC34" i="1"/>
  <c r="V31" i="1"/>
  <c r="AC31" i="1" s="1"/>
  <c r="V28" i="1"/>
  <c r="AC28" i="1" s="1"/>
  <c r="V26" i="1"/>
  <c r="AC26" i="1" s="1"/>
  <c r="W23" i="1"/>
  <c r="AC23" i="1"/>
  <c r="V22" i="1"/>
  <c r="AC22" i="1" s="1"/>
  <c r="V20" i="1"/>
  <c r="AC20" i="1" s="1"/>
  <c r="V18" i="1"/>
  <c r="AC18" i="1" s="1"/>
  <c r="V17" i="1"/>
  <c r="AC17" i="1" s="1"/>
  <c r="AB13" i="1"/>
  <c r="W13" i="1" s="1"/>
  <c r="AB33" i="1"/>
  <c r="AB31" i="1"/>
  <c r="W31" i="1" s="1"/>
  <c r="AB18" i="1"/>
  <c r="W18" i="1" s="1"/>
  <c r="AB16" i="1"/>
  <c r="W16" i="1" s="1"/>
  <c r="AB12" i="1"/>
  <c r="W12" i="1" s="1"/>
  <c r="AB21" i="32" l="1"/>
  <c r="W21" i="32" s="1"/>
  <c r="V21" i="32"/>
  <c r="AC21" i="32" s="1"/>
  <c r="AB29" i="23"/>
  <c r="W29" i="23" s="1"/>
  <c r="V29" i="23"/>
  <c r="AC29" i="23" s="1"/>
  <c r="D9" i="21"/>
  <c r="G6" i="22"/>
  <c r="X6" i="22"/>
  <c r="E7" i="22"/>
  <c r="E8" i="22"/>
  <c r="M7" i="22"/>
  <c r="I8" i="22"/>
  <c r="E13" i="21"/>
  <c r="E9" i="21"/>
  <c r="M51" i="23"/>
  <c r="L9" i="22" s="1"/>
  <c r="M9" i="22" s="1"/>
  <c r="E6" i="22"/>
  <c r="AC24" i="23"/>
  <c r="U49" i="23"/>
  <c r="U47" i="23"/>
  <c r="C11" i="19" s="1"/>
  <c r="C5" i="30" s="1"/>
  <c r="V16" i="23"/>
  <c r="AC16" i="23" s="1"/>
  <c r="V30" i="1"/>
  <c r="AC30" i="1" s="1"/>
  <c r="AB29" i="1"/>
  <c r="W29" i="1" s="1"/>
  <c r="AB27" i="1"/>
  <c r="W27" i="1" s="1"/>
  <c r="AB25" i="1"/>
  <c r="W25" i="1" s="1"/>
  <c r="U49" i="1"/>
  <c r="U47" i="1"/>
  <c r="C11" i="7" s="1"/>
  <c r="AC32" i="1"/>
  <c r="V14" i="23"/>
  <c r="AC14" i="23" s="1"/>
  <c r="AB33" i="32"/>
  <c r="W33" i="32" s="1"/>
  <c r="V33" i="32"/>
  <c r="AC33" i="32" s="1"/>
  <c r="AB29" i="32"/>
  <c r="W29" i="32" s="1"/>
  <c r="V29" i="32"/>
  <c r="AC29" i="32" s="1"/>
  <c r="AB28" i="32"/>
  <c r="W28" i="32" s="1"/>
  <c r="V28" i="32"/>
  <c r="AC28" i="32" s="1"/>
  <c r="AB27" i="32"/>
  <c r="W27" i="32" s="1"/>
  <c r="V27" i="32"/>
  <c r="AC27" i="32" s="1"/>
  <c r="V26" i="32"/>
  <c r="AC26" i="32" s="1"/>
  <c r="AB26" i="32"/>
  <c r="W26" i="32" s="1"/>
  <c r="V25" i="32"/>
  <c r="AC25" i="32" s="1"/>
  <c r="AB24" i="32"/>
  <c r="W24" i="32" s="1"/>
  <c r="V24" i="32"/>
  <c r="AC24" i="32" s="1"/>
  <c r="AB23" i="32"/>
  <c r="W23" i="32" s="1"/>
  <c r="V23" i="32"/>
  <c r="AC23" i="32" s="1"/>
  <c r="V22" i="32"/>
  <c r="AC22" i="32" s="1"/>
  <c r="AB22" i="32"/>
  <c r="W22" i="32" s="1"/>
  <c r="T50" i="32"/>
  <c r="O61" i="32" s="1"/>
  <c r="N50" i="32"/>
  <c r="Z13" i="32" s="1"/>
  <c r="U47" i="32"/>
  <c r="C11" i="31" s="1"/>
  <c r="D11" i="31" s="1"/>
  <c r="G20" i="31" s="1"/>
  <c r="AB17" i="32"/>
  <c r="W17" i="32" s="1"/>
  <c r="U48" i="32"/>
  <c r="C12" i="31" s="1"/>
  <c r="E6" i="30" s="1"/>
  <c r="X15" i="32"/>
  <c r="X27" i="32"/>
  <c r="X37" i="32"/>
  <c r="X22" i="32"/>
  <c r="X21" i="32"/>
  <c r="X42" i="32"/>
  <c r="X16" i="32"/>
  <c r="X36" i="32"/>
  <c r="X41" i="32"/>
  <c r="X44" i="32"/>
  <c r="X40" i="32"/>
  <c r="X17" i="32"/>
  <c r="X33" i="32"/>
  <c r="X35" i="32"/>
  <c r="X34" i="32"/>
  <c r="C16" i="31"/>
  <c r="I6" i="30"/>
  <c r="X26" i="32"/>
  <c r="X39" i="32"/>
  <c r="X20" i="32"/>
  <c r="X18" i="32"/>
  <c r="X13" i="32"/>
  <c r="X24" i="32"/>
  <c r="X30" i="32"/>
  <c r="X32" i="32"/>
  <c r="X19" i="32"/>
  <c r="X45" i="32"/>
  <c r="X38" i="32"/>
  <c r="X12" i="32"/>
  <c r="X23" i="32"/>
  <c r="X25" i="32"/>
  <c r="X31" i="32"/>
  <c r="X29" i="32"/>
  <c r="X28" i="32"/>
  <c r="X43" i="32"/>
  <c r="X14" i="32"/>
  <c r="U49" i="32"/>
  <c r="V13" i="32"/>
  <c r="AC13" i="32" s="1"/>
  <c r="AB13" i="32"/>
  <c r="W13" i="32" s="1"/>
  <c r="U48" i="23"/>
  <c r="C12" i="19" s="1"/>
  <c r="D12" i="19" s="1"/>
  <c r="G21" i="19" s="1"/>
  <c r="AB27" i="23"/>
  <c r="W27" i="23" s="1"/>
  <c r="V27" i="23"/>
  <c r="AC27" i="23" s="1"/>
  <c r="AB26" i="23"/>
  <c r="W26" i="23" s="1"/>
  <c r="W49" i="23" s="1"/>
  <c r="V26" i="23"/>
  <c r="AC26" i="23" s="1"/>
  <c r="R7" i="17"/>
  <c r="T50" i="23"/>
  <c r="S61" i="23" s="1"/>
  <c r="N50" i="23"/>
  <c r="H61" i="23" s="1"/>
  <c r="X26" i="23"/>
  <c r="X29" i="23"/>
  <c r="X32" i="23"/>
  <c r="X35" i="23"/>
  <c r="X45" i="23"/>
  <c r="X14" i="23"/>
  <c r="X17" i="23"/>
  <c r="X20" i="23"/>
  <c r="X23" i="23"/>
  <c r="C16" i="19"/>
  <c r="X18" i="23"/>
  <c r="X21" i="23"/>
  <c r="X24" i="23"/>
  <c r="X27" i="23"/>
  <c r="X37" i="23"/>
  <c r="X42" i="23"/>
  <c r="X43" i="23"/>
  <c r="X12" i="23"/>
  <c r="X15" i="23"/>
  <c r="X34" i="23"/>
  <c r="X38" i="23"/>
  <c r="X39" i="23"/>
  <c r="X44" i="23"/>
  <c r="I5" i="30"/>
  <c r="X22" i="23"/>
  <c r="X25" i="23"/>
  <c r="X28" i="23"/>
  <c r="X31" i="23"/>
  <c r="X41" i="23"/>
  <c r="X46" i="23"/>
  <c r="X13" i="23"/>
  <c r="X16" i="23"/>
  <c r="X19" i="23"/>
  <c r="X30" i="23"/>
  <c r="X33" i="23"/>
  <c r="X36" i="23"/>
  <c r="X40" i="23"/>
  <c r="W47" i="23"/>
  <c r="AC12" i="23"/>
  <c r="T48" i="1"/>
  <c r="I8" i="14"/>
  <c r="K8" i="27"/>
  <c r="AB6" i="27"/>
  <c r="D10" i="26"/>
  <c r="X7" i="27"/>
  <c r="X8" i="27"/>
  <c r="E15" i="26"/>
  <c r="E7" i="27"/>
  <c r="X7" i="14"/>
  <c r="C7" i="26"/>
  <c r="I7" i="26" s="1"/>
  <c r="E7" i="26"/>
  <c r="I8" i="27"/>
  <c r="I6" i="27"/>
  <c r="M6" i="14"/>
  <c r="M7" i="27"/>
  <c r="K7" i="14"/>
  <c r="K7" i="27"/>
  <c r="X6" i="14"/>
  <c r="K6" i="14"/>
  <c r="D14" i="26"/>
  <c r="Q51" i="1"/>
  <c r="Y9" i="14" s="1"/>
  <c r="Z9" i="14" s="1"/>
  <c r="AD6" i="14"/>
  <c r="V8" i="27"/>
  <c r="D15" i="26"/>
  <c r="AB7" i="27"/>
  <c r="M8" i="14"/>
  <c r="I7" i="27"/>
  <c r="D9" i="26"/>
  <c r="M7" i="14"/>
  <c r="D11" i="2"/>
  <c r="E8" i="27"/>
  <c r="G6" i="14"/>
  <c r="G7" i="14"/>
  <c r="C10" i="26"/>
  <c r="I10" i="26" s="1"/>
  <c r="E14" i="2"/>
  <c r="AD8" i="27"/>
  <c r="C15" i="26"/>
  <c r="I14" i="26" s="1"/>
  <c r="E8" i="26"/>
  <c r="C9" i="2"/>
  <c r="E6" i="27"/>
  <c r="K8" i="14"/>
  <c r="M8" i="27"/>
  <c r="AB6" i="14"/>
  <c r="Z7" i="27"/>
  <c r="I7" i="14"/>
  <c r="V7" i="14"/>
  <c r="I6" i="14"/>
  <c r="E12" i="26"/>
  <c r="C16" i="2"/>
  <c r="G6" i="27"/>
  <c r="X8" i="14"/>
  <c r="D15" i="2"/>
  <c r="D16" i="2"/>
  <c r="E7" i="14"/>
  <c r="AB8" i="27"/>
  <c r="Z8" i="14"/>
  <c r="M6" i="27"/>
  <c r="V8" i="14"/>
  <c r="E8" i="14"/>
  <c r="E10" i="2"/>
  <c r="E14" i="26"/>
  <c r="Z8" i="27"/>
  <c r="D7" i="2"/>
  <c r="D8" i="2"/>
  <c r="K6" i="27"/>
  <c r="G7" i="27"/>
  <c r="AD7" i="27"/>
  <c r="X6" i="27"/>
  <c r="C10" i="2"/>
  <c r="AB8" i="14"/>
  <c r="D7" i="26"/>
  <c r="C8" i="2"/>
  <c r="C11" i="2"/>
  <c r="C17" i="2"/>
  <c r="K51" i="1"/>
  <c r="H9" i="14" s="1"/>
  <c r="I9" i="14" s="1"/>
  <c r="AD8" i="14"/>
  <c r="E16" i="2"/>
  <c r="E8" i="2"/>
  <c r="N49" i="1"/>
  <c r="N50" i="1" s="1"/>
  <c r="Z24" i="1" s="1"/>
  <c r="D13" i="2"/>
  <c r="D12" i="26"/>
  <c r="C9" i="28"/>
  <c r="W9" i="27" s="1"/>
  <c r="X9" i="27" s="1"/>
  <c r="Z7" i="14"/>
  <c r="AB7" i="14"/>
  <c r="Z6" i="27"/>
  <c r="E9" i="26"/>
  <c r="T49" i="1"/>
  <c r="T50" i="1" s="1"/>
  <c r="Q61" i="1" s="1"/>
  <c r="M51" i="1"/>
  <c r="L9" i="14" s="1"/>
  <c r="M9" i="14" s="1"/>
  <c r="AD7" i="14"/>
  <c r="V6" i="14"/>
  <c r="R51" i="1"/>
  <c r="AA9" i="14" s="1"/>
  <c r="AB9" i="14" s="1"/>
  <c r="C13" i="26"/>
  <c r="I12" i="26" s="1"/>
  <c r="D17" i="2"/>
  <c r="Z6" i="14"/>
  <c r="C12" i="26"/>
  <c r="I11" i="26" s="1"/>
  <c r="G8" i="27"/>
  <c r="C16" i="26"/>
  <c r="I15" i="26" s="1"/>
  <c r="C14" i="2"/>
  <c r="C7" i="2"/>
  <c r="E9" i="2"/>
  <c r="G8" i="14"/>
  <c r="E15" i="2"/>
  <c r="E13" i="26"/>
  <c r="N48" i="1"/>
  <c r="C13" i="2"/>
  <c r="E16" i="26"/>
  <c r="D16" i="26"/>
  <c r="C15" i="2"/>
  <c r="D8" i="26"/>
  <c r="C8" i="26"/>
  <c r="I8" i="26" s="1"/>
  <c r="V6" i="27"/>
  <c r="I51" i="1"/>
  <c r="D9" i="14" s="1"/>
  <c r="E9" i="14" s="1"/>
  <c r="C6" i="26"/>
  <c r="I6" i="26" s="1"/>
  <c r="C9" i="26"/>
  <c r="I9" i="26" s="1"/>
  <c r="O51" i="1"/>
  <c r="E6" i="26"/>
  <c r="D6" i="26"/>
  <c r="D14" i="2"/>
  <c r="E6" i="14"/>
  <c r="E17" i="2"/>
  <c r="V7" i="27"/>
  <c r="L51" i="1"/>
  <c r="J9" i="14" s="1"/>
  <c r="K9" i="14" s="1"/>
  <c r="E7" i="2"/>
  <c r="E10" i="26"/>
  <c r="C9" i="7"/>
  <c r="D9" i="7" s="1"/>
  <c r="E13" i="2"/>
  <c r="P51" i="1"/>
  <c r="AD6" i="27"/>
  <c r="D10" i="2"/>
  <c r="D13" i="26"/>
  <c r="S51" i="1"/>
  <c r="AC9" i="14" s="1"/>
  <c r="AD9" i="14" s="1"/>
  <c r="J51" i="1"/>
  <c r="F9" i="14" s="1"/>
  <c r="G9" i="14" s="1"/>
  <c r="C14" i="26"/>
  <c r="I13" i="26" s="1"/>
  <c r="D9" i="2"/>
  <c r="V15" i="1"/>
  <c r="U48" i="1"/>
  <c r="C12" i="7" s="1"/>
  <c r="C4" i="30"/>
  <c r="W48" i="1"/>
  <c r="W49" i="1"/>
  <c r="W47" i="1"/>
  <c r="Z16" i="32" l="1"/>
  <c r="D11" i="19"/>
  <c r="G20" i="19" s="1"/>
  <c r="W48" i="23"/>
  <c r="V48" i="1"/>
  <c r="C13" i="7" s="1"/>
  <c r="G4" i="30" s="1"/>
  <c r="C11" i="28"/>
  <c r="C7" i="30" s="1"/>
  <c r="W47" i="32"/>
  <c r="Z24" i="32"/>
  <c r="Q61" i="32"/>
  <c r="R61" i="32"/>
  <c r="S61" i="32"/>
  <c r="Z21" i="32"/>
  <c r="Z41" i="32"/>
  <c r="Z31" i="32"/>
  <c r="L61" i="32"/>
  <c r="H61" i="32"/>
  <c r="Z20" i="32"/>
  <c r="Z46" i="32"/>
  <c r="F7" i="17"/>
  <c r="Z40" i="32"/>
  <c r="Z23" i="32"/>
  <c r="K61" i="32"/>
  <c r="Z25" i="32"/>
  <c r="Z26" i="32"/>
  <c r="Z33" i="32"/>
  <c r="Z42" i="32"/>
  <c r="Z18" i="32"/>
  <c r="Z45" i="32"/>
  <c r="Z38" i="32"/>
  <c r="Z32" i="32"/>
  <c r="Z28" i="32"/>
  <c r="Z22" i="32"/>
  <c r="Z43" i="32"/>
  <c r="Z17" i="32"/>
  <c r="C17" i="31"/>
  <c r="J6" i="30" s="1"/>
  <c r="Z30" i="32"/>
  <c r="Z15" i="32"/>
  <c r="Z29" i="32"/>
  <c r="D12" i="31"/>
  <c r="G21" i="31" s="1"/>
  <c r="Z14" i="32"/>
  <c r="Z37" i="32"/>
  <c r="Z12" i="32"/>
  <c r="M61" i="32"/>
  <c r="I61" i="32"/>
  <c r="Z39" i="32"/>
  <c r="AC47" i="32"/>
  <c r="J61" i="32"/>
  <c r="Z19" i="32"/>
  <c r="Z36" i="32"/>
  <c r="Z35" i="32"/>
  <c r="Z44" i="32"/>
  <c r="Z27" i="32"/>
  <c r="Z34" i="32"/>
  <c r="P61" i="32"/>
  <c r="C6" i="30"/>
  <c r="D6" i="30" s="1"/>
  <c r="V49" i="32"/>
  <c r="C15" i="31" s="1"/>
  <c r="D15" i="31" s="1"/>
  <c r="G22" i="31" s="1"/>
  <c r="V48" i="32"/>
  <c r="C13" i="31" s="1"/>
  <c r="D13" i="31" s="1"/>
  <c r="G23" i="31" s="1"/>
  <c r="V47" i="32"/>
  <c r="C14" i="31" s="1"/>
  <c r="D14" i="31" s="1"/>
  <c r="W49" i="32"/>
  <c r="W48" i="32"/>
  <c r="H7" i="17"/>
  <c r="E5" i="30"/>
  <c r="F5" i="30" s="1"/>
  <c r="AC47" i="23"/>
  <c r="V47" i="23"/>
  <c r="C14" i="19" s="1"/>
  <c r="D14" i="19" s="1"/>
  <c r="V48" i="23"/>
  <c r="C13" i="19" s="1"/>
  <c r="Q61" i="23"/>
  <c r="Z16" i="23"/>
  <c r="Z13" i="23"/>
  <c r="Z21" i="23"/>
  <c r="Z33" i="23"/>
  <c r="Z17" i="23"/>
  <c r="O61" i="23"/>
  <c r="R61" i="23"/>
  <c r="P61" i="23"/>
  <c r="Z12" i="23"/>
  <c r="Z37" i="23"/>
  <c r="Z23" i="23"/>
  <c r="Z22" i="23"/>
  <c r="Z42" i="23"/>
  <c r="Z26" i="23"/>
  <c r="Z20" i="23"/>
  <c r="J61" i="23"/>
  <c r="Z46" i="23"/>
  <c r="I61" i="23"/>
  <c r="M61" i="23"/>
  <c r="Z32" i="23"/>
  <c r="Z44" i="23"/>
  <c r="Z14" i="23"/>
  <c r="Z27" i="23"/>
  <c r="Z24" i="23"/>
  <c r="Z19" i="23"/>
  <c r="Z29" i="23"/>
  <c r="Z30" i="23"/>
  <c r="L61" i="23"/>
  <c r="Z15" i="23"/>
  <c r="Z41" i="23"/>
  <c r="Z28" i="23"/>
  <c r="Z36" i="23"/>
  <c r="Z39" i="23"/>
  <c r="Z43" i="23"/>
  <c r="Z40" i="23"/>
  <c r="Z31" i="23"/>
  <c r="K61" i="23"/>
  <c r="Z35" i="23"/>
  <c r="C17" i="19"/>
  <c r="J5" i="30" s="1"/>
  <c r="Z25" i="23"/>
  <c r="Z34" i="23"/>
  <c r="Z45" i="23"/>
  <c r="Z18" i="23"/>
  <c r="Z38" i="23"/>
  <c r="V49" i="23"/>
  <c r="C15" i="19" s="1"/>
  <c r="D15" i="19" s="1"/>
  <c r="G22" i="19" s="1"/>
  <c r="Y9" i="27"/>
  <c r="Z9" i="27" s="1"/>
  <c r="Z44" i="1"/>
  <c r="Z18" i="1"/>
  <c r="Z42" i="1"/>
  <c r="F9" i="27"/>
  <c r="G9" i="27" s="1"/>
  <c r="Z33" i="1"/>
  <c r="Z30" i="1"/>
  <c r="AA9" i="27"/>
  <c r="AB9" i="27" s="1"/>
  <c r="C17" i="28"/>
  <c r="J7" i="30" s="1"/>
  <c r="D9" i="27"/>
  <c r="E9" i="27" s="1"/>
  <c r="J9" i="27"/>
  <c r="K9" i="27" s="1"/>
  <c r="C16" i="28"/>
  <c r="I7" i="30" s="1"/>
  <c r="D7" i="17"/>
  <c r="Z14" i="1"/>
  <c r="Z23" i="1"/>
  <c r="Z19" i="1"/>
  <c r="Z38" i="1"/>
  <c r="Z25" i="1"/>
  <c r="Z21" i="1"/>
  <c r="Z40" i="1"/>
  <c r="Z35" i="1"/>
  <c r="Z15" i="1"/>
  <c r="Z17" i="1"/>
  <c r="I61" i="1"/>
  <c r="Z45" i="1"/>
  <c r="Z46" i="1"/>
  <c r="Z41" i="1"/>
  <c r="Z27" i="1"/>
  <c r="Z36" i="1"/>
  <c r="Z39" i="1"/>
  <c r="Z20" i="1"/>
  <c r="Z16" i="1"/>
  <c r="M61" i="1"/>
  <c r="Z34" i="1"/>
  <c r="Z13" i="1"/>
  <c r="Z22" i="1"/>
  <c r="H61" i="1"/>
  <c r="Z31" i="1"/>
  <c r="J61" i="1"/>
  <c r="K61" i="1"/>
  <c r="Z32" i="1"/>
  <c r="L61" i="1"/>
  <c r="Z12" i="1"/>
  <c r="Z26" i="1"/>
  <c r="Z28" i="1"/>
  <c r="C17" i="7"/>
  <c r="J4" i="30" s="1"/>
  <c r="Z37" i="1"/>
  <c r="Z43" i="1"/>
  <c r="Z29" i="1"/>
  <c r="AC9" i="27"/>
  <c r="AD9" i="27" s="1"/>
  <c r="L9" i="27"/>
  <c r="M9" i="27" s="1"/>
  <c r="U9" i="27"/>
  <c r="V9" i="27" s="1"/>
  <c r="H9" i="27"/>
  <c r="I9" i="27" s="1"/>
  <c r="D9" i="28"/>
  <c r="U9" i="14"/>
  <c r="V9" i="14" s="1"/>
  <c r="W9" i="14"/>
  <c r="X9" i="14" s="1"/>
  <c r="D11" i="7"/>
  <c r="G20" i="7" s="1"/>
  <c r="X42" i="1"/>
  <c r="X45" i="1"/>
  <c r="X26" i="1"/>
  <c r="X30" i="1"/>
  <c r="X37" i="1"/>
  <c r="X36" i="1"/>
  <c r="X41" i="1"/>
  <c r="X46" i="1"/>
  <c r="X13" i="1"/>
  <c r="X28" i="1"/>
  <c r="X17" i="1"/>
  <c r="X33" i="1"/>
  <c r="X39" i="1"/>
  <c r="X12" i="1"/>
  <c r="X27" i="1"/>
  <c r="X35" i="1"/>
  <c r="X15" i="1"/>
  <c r="X34" i="1"/>
  <c r="X40" i="1"/>
  <c r="X25" i="1"/>
  <c r="I4" i="30"/>
  <c r="X24" i="1"/>
  <c r="X21" i="1"/>
  <c r="X38" i="1"/>
  <c r="X19" i="1"/>
  <c r="X20" i="1"/>
  <c r="X14" i="1"/>
  <c r="X29" i="1"/>
  <c r="X22" i="1"/>
  <c r="X31" i="1"/>
  <c r="X32" i="1"/>
  <c r="X43" i="1"/>
  <c r="X18" i="1"/>
  <c r="X16" i="1"/>
  <c r="X44" i="1"/>
  <c r="C16" i="7"/>
  <c r="X23" i="1"/>
  <c r="S61" i="1"/>
  <c r="O61" i="1"/>
  <c r="P61" i="1"/>
  <c r="R61" i="1"/>
  <c r="V47" i="1"/>
  <c r="C14" i="7" s="1"/>
  <c r="D14" i="7" s="1"/>
  <c r="AC15" i="1"/>
  <c r="J7" i="17"/>
  <c r="D12" i="7"/>
  <c r="G21" i="7" s="1"/>
  <c r="C12" i="28"/>
  <c r="E7" i="30" s="1"/>
  <c r="D7" i="30" s="1"/>
  <c r="E4" i="30"/>
  <c r="D4" i="30" s="1"/>
  <c r="D11" i="28"/>
  <c r="G20" i="28" s="1"/>
  <c r="D13" i="7" l="1"/>
  <c r="G23" i="7" s="1"/>
  <c r="F6" i="30"/>
  <c r="K7" i="17"/>
  <c r="G6" i="30"/>
  <c r="H6" i="30" s="1"/>
  <c r="C13" i="28"/>
  <c r="D13" i="28" s="1"/>
  <c r="G23" i="28" s="1"/>
  <c r="L7" i="17"/>
  <c r="M7" i="17" s="1"/>
  <c r="I7" i="17"/>
  <c r="D5" i="30"/>
  <c r="D13" i="19"/>
  <c r="G23" i="19" s="1"/>
  <c r="G5" i="30"/>
  <c r="H5" i="30" s="1"/>
  <c r="N7" i="17"/>
  <c r="J9" i="26" s="1"/>
  <c r="G7" i="17"/>
  <c r="S7" i="17"/>
  <c r="E7" i="17"/>
  <c r="P7" i="17"/>
  <c r="T7" i="17"/>
  <c r="Q7" i="17"/>
  <c r="C14" i="28"/>
  <c r="D14" i="28" s="1"/>
  <c r="V49" i="1"/>
  <c r="AC47" i="1"/>
  <c r="H4" i="30"/>
  <c r="F4" i="30"/>
  <c r="F7" i="30"/>
  <c r="D12" i="28"/>
  <c r="G21" i="28" s="1"/>
  <c r="G7" i="30" l="1"/>
  <c r="H7" i="30" s="1"/>
  <c r="J7" i="26"/>
  <c r="J8" i="26"/>
  <c r="J6" i="26"/>
  <c r="J14" i="26"/>
  <c r="J11" i="26"/>
  <c r="J15" i="26"/>
  <c r="J10" i="26"/>
  <c r="J12" i="26"/>
  <c r="J13" i="26"/>
  <c r="C15" i="28"/>
  <c r="D15" i="28" s="1"/>
  <c r="G22" i="28" s="1"/>
  <c r="C15" i="7"/>
  <c r="D15" i="7" s="1"/>
  <c r="G22" i="7" s="1"/>
</calcChain>
</file>

<file path=xl/comments1.xml><?xml version="1.0" encoding="utf-8"?>
<comments xmlns="http://schemas.openxmlformats.org/spreadsheetml/2006/main">
  <authors>
    <author>Наталья Бекмухаметова</author>
    <author>РЦОКО</author>
  </authors>
  <commentList>
    <comment ref="M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U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Код региона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U3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код школы из Единого справочника кодов</t>
        </r>
      </text>
    </comment>
    <comment ref="M4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M5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M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U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код класса</t>
        </r>
      </text>
    </comment>
    <comment ref="M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M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 по образцу из Краткой инструкции (лист Инструкция)</t>
        </r>
      </text>
    </comment>
    <comment ref="N47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Общая сумма баллов=количество выполненных заданий</t>
        </r>
      </text>
    </comment>
    <comment ref="T47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Общая сумма баллов
</t>
        </r>
      </text>
    </comment>
    <comment ref="U4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в ГРУППЕ РИСКА</t>
        </r>
      </text>
    </comment>
    <comment ref="V4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не достигших повышенного уровня</t>
        </r>
      </text>
    </comment>
    <comment ref="W47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за контрольную работу совпала с ожиданиями учителя</t>
        </r>
      </text>
    </comment>
    <comment ref="N48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T48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U4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первоклассников, справившихся с работой на базовом уровне</t>
        </r>
      </text>
    </comment>
    <comment ref="V4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достигших повышенного уровня</t>
        </r>
      </text>
    </comment>
    <comment ref="W48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учителя оказалась занижена</t>
        </r>
      </text>
    </comment>
    <comment ref="N49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Общий объем заданий = количество заданий * количество учащихся, писавших контрольную работу</t>
        </r>
      </text>
    </comment>
    <comment ref="T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Общий объем заданий
</t>
        </r>
      </text>
    </comment>
    <comment ref="U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отсутствовавших</t>
        </r>
      </text>
    </comment>
    <comment ref="V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достигших базового уровня и не вышедших на повышенный</t>
        </r>
      </text>
    </comment>
    <comment ref="W49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учителя оказалась завышена</t>
        </r>
      </text>
    </comment>
    <comment ref="N50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Результативность выполнения заданий Обязательной части = объем фактически выполненных заданий/общий объем заданий</t>
        </r>
      </text>
    </comment>
    <comment ref="T50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Результативность выполнения заданий Дополнительной части</t>
        </r>
      </text>
    </comment>
  </commentList>
</comments>
</file>

<file path=xl/comments2.xml><?xml version="1.0" encoding="utf-8"?>
<comments xmlns="http://schemas.openxmlformats.org/spreadsheetml/2006/main">
  <authors>
    <author>Наталья Бекмухаметова</author>
    <author>РЦОКО</author>
  </authors>
  <commentList>
    <comment ref="M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U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Код региона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U3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код школы из Единого справочника кодов</t>
        </r>
      </text>
    </comment>
    <comment ref="M4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M5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M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U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код класса</t>
        </r>
      </text>
    </comment>
    <comment ref="M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M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 по образцу из Краткой инструкции (лист Инструкция)</t>
        </r>
      </text>
    </comment>
    <comment ref="N47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Общая сумма баллов=количество выполненных заданий</t>
        </r>
      </text>
    </comment>
    <comment ref="T47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Общая сумма баллов
</t>
        </r>
      </text>
    </comment>
    <comment ref="U4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в ГРУППЕ РИСКА</t>
        </r>
      </text>
    </comment>
    <comment ref="V4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не достигших повышенного уровня</t>
        </r>
      </text>
    </comment>
    <comment ref="W47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за контрольную работу совпала с ожиданиями учителя</t>
        </r>
      </text>
    </comment>
    <comment ref="N48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T48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U4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первоклассников, справившихся с работой на базовом уровне</t>
        </r>
      </text>
    </comment>
    <comment ref="V4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достигших повышенного уровня</t>
        </r>
      </text>
    </comment>
    <comment ref="W48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учителя оказалась занижена</t>
        </r>
      </text>
    </comment>
    <comment ref="N49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Общий объем заданий = количество заданий * количество учащихся, писавших контрольную работу</t>
        </r>
      </text>
    </comment>
    <comment ref="T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Общий объем заданий
</t>
        </r>
      </text>
    </comment>
    <comment ref="U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отсутствовавших</t>
        </r>
      </text>
    </comment>
    <comment ref="V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достигших базового уровня и не вышедших на повышенный</t>
        </r>
      </text>
    </comment>
    <comment ref="W49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учителя оказалась завышена</t>
        </r>
      </text>
    </comment>
    <comment ref="N50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Результативность выполнения заданий Обязательной части = объем фактически выполненных заданий/общий объем заданий</t>
        </r>
      </text>
    </comment>
    <comment ref="T50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Результативность выполнения заданий Дополнительной части</t>
        </r>
      </text>
    </comment>
  </commentList>
</comments>
</file>

<file path=xl/comments3.xml><?xml version="1.0" encoding="utf-8"?>
<comments xmlns="http://schemas.openxmlformats.org/spreadsheetml/2006/main">
  <authors>
    <author>Наталья Бекмухаметова</author>
    <author>РЦОКО</author>
  </authors>
  <commentList>
    <comment ref="M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U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Код региона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U3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код школы из Единого справочника кодов</t>
        </r>
      </text>
    </comment>
    <comment ref="M4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M5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</t>
        </r>
      </text>
    </comment>
    <comment ref="M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U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код класса</t>
        </r>
      </text>
    </comment>
    <comment ref="M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</t>
        </r>
      </text>
    </comment>
    <comment ref="M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Введите самостоятельно по образцу из Краткой инструкции (лист Инструкция)</t>
        </r>
      </text>
    </comment>
    <comment ref="N47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Общая сумма баллов=количество выполненных заданий</t>
        </r>
      </text>
    </comment>
    <comment ref="T47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Общая сумма баллов
</t>
        </r>
      </text>
    </comment>
    <comment ref="U4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в ГРУППЕ РИСКА</t>
        </r>
      </text>
    </comment>
    <comment ref="V4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не достигших повышенного уровня</t>
        </r>
      </text>
    </comment>
    <comment ref="W47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за контрольную работу совпала с ожиданиями учителя</t>
        </r>
      </text>
    </comment>
    <comment ref="N48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T48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U4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первоклассников, справившихся с работой на базовом уровне</t>
        </r>
      </text>
    </comment>
    <comment ref="V4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достигших повышенного уровня</t>
        </r>
      </text>
    </comment>
    <comment ref="W48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учителя оказалась занижена</t>
        </r>
      </text>
    </comment>
    <comment ref="N49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Общий объем заданий = количество заданий * количество учащихся, писавших контрольную работу</t>
        </r>
      </text>
    </comment>
    <comment ref="T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Общий объем заданий
</t>
        </r>
      </text>
    </comment>
    <comment ref="U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отсутствовавших</t>
        </r>
      </text>
    </comment>
    <comment ref="V4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Количество первоклассников достигших базового уровня и не вышедших на повышенный</t>
        </r>
      </text>
    </comment>
    <comment ref="W49" authorId="0">
      <text>
        <r>
          <rPr>
            <b/>
            <sz val="8"/>
            <color indexed="81"/>
            <rFont val="Tahoma"/>
            <charset val="1"/>
          </rPr>
          <t>РЦОКО:</t>
        </r>
        <r>
          <rPr>
            <sz val="8"/>
            <color indexed="81"/>
            <rFont val="Tahoma"/>
            <charset val="1"/>
          </rPr>
          <t xml:space="preserve">
Оценка учителя оказалась завышена</t>
        </r>
      </text>
    </comment>
    <comment ref="N50" authorId="1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Результативность выполнения заданий Обязательной части = объем фактически выполненных заданий/общий объем заданий</t>
        </r>
      </text>
    </comment>
    <comment ref="T50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Результативность выполнения заданий Дополнительной части</t>
        </r>
      </text>
    </comment>
  </commentList>
</comments>
</file>

<file path=xl/sharedStrings.xml><?xml version="1.0" encoding="utf-8"?>
<sst xmlns="http://schemas.openxmlformats.org/spreadsheetml/2006/main" count="858" uniqueCount="194">
  <si>
    <t>Наименование учебного заведения</t>
  </si>
  <si>
    <t xml:space="preserve">Вид учебного заведения </t>
  </si>
  <si>
    <t>Учебная программа (автор, название)</t>
  </si>
  <si>
    <t>№ п/п</t>
  </si>
  <si>
    <t>ВЫПОЛНИЛИ ВЕРНО (1)</t>
  </si>
  <si>
    <t>%</t>
  </si>
  <si>
    <t>При заполнении клеток ведомости используются следующие обозначения:</t>
  </si>
  <si>
    <t>КЛАСС (ГРУППА)</t>
  </si>
  <si>
    <t>% выполнения</t>
  </si>
  <si>
    <t>Уровень сложности задания</t>
  </si>
  <si>
    <t>Макс. балл</t>
  </si>
  <si>
    <t>верно</t>
  </si>
  <si>
    <t>неверно</t>
  </si>
  <si>
    <t>не приступило</t>
  </si>
  <si>
    <t>Б</t>
  </si>
  <si>
    <t>П</t>
  </si>
  <si>
    <t>УЧЕБНОЕ ЗАВЕДЕНИЕ</t>
  </si>
  <si>
    <t>ВСЕГО УЧАЩИХСЯ</t>
  </si>
  <si>
    <t>ПОКАЗАТЕЛИ</t>
  </si>
  <si>
    <t>ТЕСТОВЫЙ БАЛЛ</t>
  </si>
  <si>
    <t>КОЛИЧЕСТВО УЧАЩИХСЯ</t>
  </si>
  <si>
    <t>КОЛИЧЕСТВО УЧАЩИХСЯ В %</t>
  </si>
  <si>
    <t>СРЕДНЕТЕСТОВЫЙ БАЛЛ</t>
  </si>
  <si>
    <t>чел.</t>
  </si>
  <si>
    <t>Выполнение заданий по кодификатору элементов содержания</t>
  </si>
  <si>
    <t>НЕ СПРАВИЛИСЬ С РАБОТОЙ</t>
  </si>
  <si>
    <t>Класс</t>
  </si>
  <si>
    <t>выполнили задание безошибочно</t>
  </si>
  <si>
    <t>не приступили к выполнению задания</t>
  </si>
  <si>
    <t>допустили ошибку при выполнении задания</t>
  </si>
  <si>
    <t>ВЫПОЛНИЛИ НЕ ВЕРНО (0)</t>
  </si>
  <si>
    <t>НЕ ПРИСТУПИЛИ К ВЫПОЛНЕНИЮ ЗАДАНИЙ (Х)</t>
  </si>
  <si>
    <t>2.3. В ячейки ведомости внесите результаты выполнения контрольной работы в соответствии с критериями.</t>
  </si>
  <si>
    <t>задание выполнено верно</t>
  </si>
  <si>
    <t>задание выполнено не верно</t>
  </si>
  <si>
    <t>к выполнению задания не приступал</t>
  </si>
  <si>
    <r>
      <t xml:space="preserve">3. Формы </t>
    </r>
    <r>
      <rPr>
        <b/>
        <sz val="11"/>
        <rFont val="Arial Cyr"/>
        <family val="2"/>
        <charset val="204"/>
      </rPr>
      <t xml:space="preserve">Ф1-Г1 - Результаты выполнения контрольной работы </t>
    </r>
    <r>
      <rPr>
        <sz val="11"/>
        <rFont val="Arial Cyr"/>
        <family val="2"/>
        <charset val="204"/>
      </rPr>
      <t xml:space="preserve">(общие седения по классу), </t>
    </r>
    <r>
      <rPr>
        <b/>
        <sz val="11"/>
        <rFont val="Arial Cyr"/>
        <family val="2"/>
        <charset val="204"/>
      </rPr>
      <t>Ф3-Г1 - Выполнение заданий по кодификатору</t>
    </r>
    <r>
      <rPr>
        <sz val="11"/>
        <rFont val="Arial Cyr"/>
        <family val="2"/>
        <charset val="204"/>
      </rPr>
      <t xml:space="preserve">, </t>
    </r>
    <r>
      <rPr>
        <b/>
        <sz val="11"/>
        <rFont val="Arial Cyr"/>
        <family val="2"/>
        <charset val="204"/>
      </rPr>
      <t>Ф4-Г1</t>
    </r>
    <r>
      <rPr>
        <sz val="11"/>
        <rFont val="Arial Cyr"/>
        <family val="2"/>
        <charset val="204"/>
      </rPr>
      <t xml:space="preserve"> - </t>
    </r>
    <r>
      <rPr>
        <b/>
        <sz val="11"/>
        <rFont val="Arial Cyr"/>
        <family val="2"/>
        <charset val="204"/>
      </rPr>
      <t>Результаты выполнения контрольной работы</t>
    </r>
    <r>
      <rPr>
        <sz val="11"/>
        <rFont val="Arial Cyr"/>
        <family val="2"/>
        <charset val="204"/>
      </rPr>
      <t xml:space="preserve"> (статистика верно/не верно выполненных заданий) заполняются автоматически.</t>
    </r>
  </si>
  <si>
    <t>Идентификатор ученика</t>
  </si>
  <si>
    <t>Балл за выполнение обязательной части</t>
  </si>
  <si>
    <t>Обязательная часть работы</t>
  </si>
  <si>
    <t>Дополнительная часть работы</t>
  </si>
  <si>
    <t>Балл за  выполнение дополнительной части</t>
  </si>
  <si>
    <t>ТРУДНОСТЬ ЗАДАНИЯ</t>
  </si>
  <si>
    <t>ПРИНЯЛИ УЧАСТИЕ В ТЕСТИРОВАНИИ</t>
  </si>
  <si>
    <t>УЧАСТНИКОВ ТЕСТИРОВАНИЯ</t>
  </si>
  <si>
    <t>Количество учеников в классе (по списку в журнале)</t>
  </si>
  <si>
    <t>Муниципальный район</t>
  </si>
  <si>
    <t>МУНИЦИПАЛЬНЫЙ РАЙОН</t>
  </si>
  <si>
    <t>Тип учебного заведения</t>
  </si>
  <si>
    <t>РЕЗУЛЬТАТИВНОСТЬ ВПОЛНЕНИЯ ТЕСТА</t>
  </si>
  <si>
    <t>трудность заданий</t>
  </si>
  <si>
    <t>Ожидаемый результат</t>
  </si>
  <si>
    <t>0101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</si>
  <si>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</si>
  <si>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</si>
  <si>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</si>
  <si>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</si>
  <si>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</si>
  <si>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</si>
  <si>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</si>
  <si>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</si>
  <si>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</si>
  <si>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</si>
  <si>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</si>
  <si>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</si>
  <si>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</si>
  <si>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</si>
  <si>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</si>
  <si>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</si>
  <si>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</si>
  <si>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</si>
  <si>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</si>
  <si>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</si>
  <si>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</si>
  <si>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</si>
  <si>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</si>
  <si>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</si>
  <si>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</si>
  <si>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</si>
  <si>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</si>
  <si>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</si>
  <si>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</si>
  <si>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</si>
  <si>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</si>
  <si>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</si>
  <si>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</si>
  <si>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</si>
  <si>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</si>
  <si>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 xml:space="preserve">Проверяемые базовые знания и умения </t>
  </si>
  <si>
    <t>(конец первого класса)</t>
  </si>
  <si>
    <t>КЛАСС</t>
  </si>
  <si>
    <t>Дополнительная часть работы – не обязательные для выполнения задания</t>
  </si>
  <si>
    <t>Обязательная часть</t>
  </si>
  <si>
    <t>результативность (обязательная часть)</t>
  </si>
  <si>
    <t>х</t>
  </si>
  <si>
    <t>перевод результата в балл</t>
  </si>
  <si>
    <t>дополнительная информация</t>
  </si>
  <si>
    <t>Номер задания Обязательной части</t>
  </si>
  <si>
    <t>Номер задания Дополнительной части</t>
  </si>
  <si>
    <t>Отчет МОУО</t>
  </si>
  <si>
    <t>Наименование ОУ</t>
  </si>
  <si>
    <t>Количество участников тестирования</t>
  </si>
  <si>
    <t>Не справились с работой</t>
  </si>
  <si>
    <t>Количество учащихся</t>
  </si>
  <si>
    <t>На уровне обязательной подготовки</t>
  </si>
  <si>
    <t>Средний тестовый балл</t>
  </si>
  <si>
    <t>Краткая инструкция по заполнению форм</t>
  </si>
  <si>
    <t>Дополнительная часть</t>
  </si>
  <si>
    <t>4. Лист "Отчет МОУО" соствляется автоматически и предназначен для создания сводного отчета по муниципалитету.</t>
  </si>
  <si>
    <t>задание 7-11</t>
  </si>
  <si>
    <t>Результаты выполнения комплексной работы в</t>
  </si>
  <si>
    <t>ВЕДОМОСТЬ РЕЗУЛЬТАТОВ ВЫПОЛНЕНИЯ  КОМПЛЕКСНОЙ  РАБОТЫ</t>
  </si>
  <si>
    <t>Чтение про себя тексты любого типа, адекватное понимание прочитанного текста</t>
  </si>
  <si>
    <t>Работа  с инструкцией, анализ последовательности событий</t>
  </si>
  <si>
    <t>Списывание  предложения из текста, проверка написанного предложения</t>
  </si>
  <si>
    <t>Преобразование информации из сплошного текста в таблицу,  заполнение таблицы</t>
  </si>
  <si>
    <t>Перевод теста в язык математики,  решение задач на нахождение суммы арифметическим способом с лишним значением</t>
  </si>
  <si>
    <t>Различие мягких и твердых согласных звуков,  выделение букв, которые  обозначают данные звуки</t>
  </si>
  <si>
    <t>Перевод текста на язык математики, установление отношений между данными и вопросом</t>
  </si>
  <si>
    <t>Установление соответствий и группировка объектов природы по признакам:  деревья, кустарники и травы,</t>
  </si>
  <si>
    <t>Анализ и установление взаимосвязи в контексте</t>
  </si>
  <si>
    <t>Понимание информации, представленной в неявном виде</t>
  </si>
  <si>
    <t>Высказывание оценочных суждений и своей точки зрения на поставленный вопрос</t>
  </si>
  <si>
    <t>КОМПЛЕКСНАЯ РАБОТА</t>
  </si>
  <si>
    <t>Предмет: КОМПЛЕКСНАЯ РАБОТА</t>
  </si>
  <si>
    <t>Диагностический характер. Не оценивается</t>
  </si>
  <si>
    <t>Получен. Результат (обязательная часть)</t>
  </si>
  <si>
    <t>Анализ результатов по обязательной части</t>
  </si>
  <si>
    <t>1А</t>
  </si>
  <si>
    <r>
      <t xml:space="preserve">задание выполнено верно - </t>
    </r>
    <r>
      <rPr>
        <sz val="10"/>
        <rFont val="Times New Roman"/>
        <family val="1"/>
        <charset val="204"/>
      </rPr>
      <t>«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»; задание выполнено неверно "0";   ученик не приступал к выполнению  задания "х".               </t>
    </r>
  </si>
  <si>
    <r>
      <t xml:space="preserve">если ученика не было на тестировании, то его </t>
    </r>
    <r>
      <rPr>
        <b/>
        <i/>
        <u/>
        <sz val="10"/>
        <rFont val="Times New Roman"/>
        <family val="1"/>
        <charset val="204"/>
      </rPr>
      <t xml:space="preserve">строка </t>
    </r>
    <r>
      <rPr>
        <b/>
        <i/>
        <sz val="10"/>
        <rFont val="Times New Roman"/>
        <family val="1"/>
        <charset val="204"/>
      </rPr>
      <t>остается пустой</t>
    </r>
  </si>
  <si>
    <t xml:space="preserve">"БУ" - базовый уровень, ученик выполнит все задания из Обязательной части </t>
  </si>
  <si>
    <t>"ГР" - группа риска, ученик выполнит не все задания из Обязательной части</t>
  </si>
  <si>
    <t>Ожидаемый результат (заполняется учителем перед контрольной работой)</t>
  </si>
  <si>
    <t>Уровень исходной готовности к обучению:</t>
  </si>
  <si>
    <t>"1" - при поступлении в школу читал осознанно (плавно или по слогам)</t>
  </si>
  <si>
    <t>"0" - при поступлении в школу не умел читать или читал неосознанно</t>
  </si>
  <si>
    <t>Уровень исходной готовности к обучению</t>
  </si>
  <si>
    <t>О достижении повышенного уровня</t>
  </si>
  <si>
    <t>Коды</t>
  </si>
  <si>
    <t>ДОСТИГЛИ ПОВЫШЕННОГО УРОВНЯ</t>
  </si>
  <si>
    <t>НЕ ДОСТИГЛИ ПОВЫШЕННОГО УРОВНЯ</t>
  </si>
  <si>
    <t>ДОСТИГ БАЗОВОГО УРОВНЯ И НЕ ДОСТИГ ПОВЫШЕННОГО</t>
  </si>
  <si>
    <t>ДОСТИГ БАЗОВОГО УРОВНЯ</t>
  </si>
  <si>
    <t>ГРУППА РИСКА</t>
  </si>
  <si>
    <t>ДОСТИГ БАЗОВОГО, НЕ ДОСТИГ ПОВЫШЕННОГО</t>
  </si>
  <si>
    <t xml:space="preserve">ДОСТИГ ПОВЫШЕННОГО </t>
  </si>
  <si>
    <t>Из них достигли повышенного уровня</t>
  </si>
  <si>
    <t xml:space="preserve">СПРАВИЛИСЬ С РАБОТОЙ НА БАЗОВОМ УРОВНЕ </t>
  </si>
  <si>
    <t>Успешность выполнения работы</t>
  </si>
  <si>
    <t xml:space="preserve">Результативность выполнения </t>
  </si>
  <si>
    <r>
      <t xml:space="preserve">Основные показатели </t>
    </r>
    <r>
      <rPr>
        <b/>
        <sz val="10"/>
        <rFont val="Cambria"/>
        <family val="1"/>
        <charset val="204"/>
      </rPr>
      <t>Обязательной части</t>
    </r>
  </si>
  <si>
    <r>
      <t xml:space="preserve">Основные показатели </t>
    </r>
    <r>
      <rPr>
        <b/>
        <sz val="10"/>
        <rFont val="Cambria"/>
        <family val="1"/>
        <charset val="204"/>
      </rPr>
      <t>Дополнительной части</t>
    </r>
  </si>
  <si>
    <t>Результативность выполнения всей работы</t>
  </si>
  <si>
    <t>Кол-во классов</t>
  </si>
  <si>
    <t>Кол-во учащихся по списку</t>
  </si>
  <si>
    <t>Сумма баллов</t>
  </si>
  <si>
    <t>1Б</t>
  </si>
  <si>
    <t>Результаты выполнения комплексной работы</t>
  </si>
  <si>
    <t>КОЛИЧЕСТВО КЛАССОВ</t>
  </si>
  <si>
    <t>ОУ</t>
  </si>
  <si>
    <t xml:space="preserve">По </t>
  </si>
  <si>
    <t>Результативность</t>
  </si>
  <si>
    <t>Справились с работой</t>
  </si>
  <si>
    <t>Сравнение результатов выполнения комплексной работы</t>
  </si>
  <si>
    <t>Достигли повышенного уровня</t>
  </si>
  <si>
    <t>1В</t>
  </si>
  <si>
    <r>
      <t xml:space="preserve">1. Данный файл предназначен для обработки результатов </t>
    </r>
    <r>
      <rPr>
        <b/>
        <sz val="11"/>
        <rFont val="Arial Cyr"/>
        <family val="2"/>
        <charset val="204"/>
      </rPr>
      <t>Комплексной работы</t>
    </r>
    <r>
      <rPr>
        <sz val="11"/>
        <rFont val="Arial Cyr"/>
        <family val="2"/>
        <charset val="204"/>
      </rPr>
      <t xml:space="preserve">, как по каждому классу отдельно, так и по школе в целом. При заполнении форм следуйте указаниям всплывающих подсказок. </t>
    </r>
  </si>
  <si>
    <r>
      <t xml:space="preserve">2. Начать заполнение файла необходимо с листа </t>
    </r>
    <r>
      <rPr>
        <b/>
        <sz val="11"/>
        <rFont val="Arial Cyr"/>
        <family val="2"/>
        <charset val="204"/>
      </rPr>
      <t xml:space="preserve">Ф2-Г1 - Ведомость результатов выполнения контрольной работы. </t>
    </r>
    <r>
      <rPr>
        <sz val="11"/>
        <rFont val="Arial Cyr"/>
        <charset val="204"/>
      </rPr>
      <t>Для</t>
    </r>
    <r>
      <rPr>
        <b/>
        <sz val="11"/>
        <rFont val="Arial Cyr"/>
        <family val="2"/>
        <charset val="204"/>
      </rPr>
      <t xml:space="preserve"> </t>
    </r>
    <r>
      <rPr>
        <sz val="11"/>
        <rFont val="Arial Cyr"/>
        <charset val="204"/>
      </rPr>
      <t>каждой группы (класса) заполняется соответствующий лист - форма Ф2.</t>
    </r>
  </si>
  <si>
    <r>
      <t xml:space="preserve">2.1. Заполните "шапку" таблицы. В строку </t>
    </r>
    <r>
      <rPr>
        <sz val="11"/>
        <rFont val="Arial Cyr"/>
        <charset val="204"/>
      </rPr>
      <t xml:space="preserve">Учебная программа внесите данные </t>
    </r>
    <r>
      <rPr>
        <sz val="11"/>
        <rFont val="Arial Cyr"/>
        <family val="2"/>
        <charset val="204"/>
      </rPr>
      <t>по форме - Название, Автор, количество часов в неделю.</t>
    </r>
  </si>
  <si>
    <t>2.2. Внесите в таблицу ожидаемый результат данные из "Карты прогноза"</t>
  </si>
  <si>
    <t>задания 2-6</t>
  </si>
  <si>
    <r>
      <t>* Отметка "не приступал" - строчная русская буква "</t>
    </r>
    <r>
      <rPr>
        <b/>
        <sz val="11"/>
        <rFont val="Arial Cyr"/>
        <family val="2"/>
        <charset val="204"/>
      </rPr>
      <t>х</t>
    </r>
    <r>
      <rPr>
        <i/>
        <sz val="11"/>
        <rFont val="Arial Cyr"/>
        <family val="2"/>
        <charset val="204"/>
      </rPr>
      <t>"</t>
    </r>
  </si>
  <si>
    <r>
      <t xml:space="preserve">2.4.В ячейку с заднием 1 вводится результат по чтению - количество слов, которое прочитал ученик за одну минуту. Если ученик до повторного сигнала учителя прочитал весь текст, то в его ячейку необходимо поставить цифровое значение </t>
    </r>
    <r>
      <rPr>
        <b/>
        <i/>
        <sz val="11"/>
        <rFont val="Arial Cyr"/>
        <family val="2"/>
        <charset val="204"/>
      </rPr>
      <t>85</t>
    </r>
    <r>
      <rPr>
        <sz val="11"/>
        <rFont val="Arial Cyr"/>
        <charset val="204"/>
      </rPr>
      <t xml:space="preserve">. </t>
    </r>
  </si>
  <si>
    <r>
      <t xml:space="preserve">2.5. Все остальные столбцы </t>
    </r>
    <r>
      <rPr>
        <sz val="11"/>
        <rFont val="Arial Cyr"/>
        <family val="2"/>
        <charset val="204"/>
      </rPr>
      <t>заполняются автоматически.</t>
    </r>
  </si>
  <si>
    <t>2.6. Пустые строки не удаляются. Для учащихся, отсутствовавщих на контрольной работе, ячейка "Ожидаемый результат" остается пустой и ячейки с баллами необходимо также очистить, удалив из них формулы.</t>
  </si>
  <si>
    <t>г.Хабаровск</t>
  </si>
  <si>
    <t>МБОУ СОШ № 83</t>
  </si>
  <si>
    <t>Начальная школа</t>
  </si>
  <si>
    <t>Общеобразовательная школа</t>
  </si>
  <si>
    <t>Школа 2100, Р.Н. Бунеев, Е.В. Бунеева, 4 ч</t>
  </si>
  <si>
    <t>138075</t>
  </si>
  <si>
    <t>БУ</t>
  </si>
  <si>
    <t>ГР</t>
  </si>
  <si>
    <t>Школа 2100, Р.Н. Бунеев, Е.В. Бунеева,4</t>
  </si>
  <si>
    <t>Школа 2100, Р.Н. Бунев, Е.В. Бунеева,4ч.</t>
  </si>
  <si>
    <t xml:space="preserve"> </t>
  </si>
  <si>
    <t xml:space="preserve">  </t>
  </si>
  <si>
    <t xml:space="preserve"> БУ</t>
  </si>
  <si>
    <t xml:space="preserve"> Х</t>
  </si>
  <si>
    <t xml:space="preserve"> х</t>
  </si>
  <si>
    <t xml:space="preserve"> ГР</t>
  </si>
  <si>
    <t xml:space="preserve">      </t>
  </si>
  <si>
    <t xml:space="preserve"> БУ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</si>
</sst>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.5"/>
      <name val="Arial"/>
      <family val="2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i/>
      <u/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theme="1"/>
      <name val="Arial Cyr"/>
      <charset val="204"/>
    </font>
    <font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0"/>
      <color theme="1"/>
      <name val="Arial Cyr"/>
      <family val="2"/>
      <charset val="204"/>
    </font>
    <font>
      <sz val="12"/>
      <name val="Cambria"/>
      <family val="1"/>
      <charset val="204"/>
      <scheme val="major"/>
    </font>
    <font>
      <sz val="10"/>
      <color rgb="FFFF0000"/>
      <name val="Arial Cyr"/>
      <family val="2"/>
      <charset val="204"/>
    </font>
    <font>
      <sz val="16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6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2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334">
    <xf numFmtId="0" fontId="0" fillId="0" borderId="0" xfId="0"/>
    <xf numFmtId="0" fontId="0" fillId="0" borderId="1" xfId="0" applyFont="1" applyBorder="1"/>
    <xf numFmtId="0" fontId="0" fillId="0" borderId="1" xfId="0" applyBorder="1"/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0" fillId="0" borderId="1" xfId="2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35" fillId="0" borderId="0" xfId="0" applyFont="1"/>
    <xf numFmtId="165" fontId="0" fillId="0" borderId="1" xfId="2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14" fillId="8" borderId="4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13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1" fontId="35" fillId="0" borderId="0" xfId="0" applyNumberFormat="1" applyFont="1" applyFill="1"/>
    <xf numFmtId="164" fontId="0" fillId="8" borderId="1" xfId="0" applyNumberFormat="1" applyFill="1" applyBorder="1" applyAlignment="1">
      <alignment horizontal="center" vertical="center"/>
    </xf>
    <xf numFmtId="164" fontId="0" fillId="8" borderId="6" xfId="0" applyNumberFormat="1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1" fontId="35" fillId="0" borderId="0" xfId="0" applyNumberFormat="1" applyFont="1"/>
    <xf numFmtId="0" fontId="36" fillId="0" borderId="0" xfId="0" applyFont="1"/>
    <xf numFmtId="2" fontId="35" fillId="0" borderId="0" xfId="0" applyNumberFormat="1" applyFont="1" applyFill="1" applyBorder="1" applyAlignment="1">
      <alignment horizontal="center" vertical="center"/>
    </xf>
    <xf numFmtId="9" fontId="35" fillId="0" borderId="0" xfId="0" applyNumberFormat="1" applyFont="1"/>
    <xf numFmtId="2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165" fontId="37" fillId="0" borderId="1" xfId="0" applyNumberFormat="1" applyFont="1" applyBorder="1" applyAlignment="1">
      <alignment horizontal="center"/>
    </xf>
    <xf numFmtId="1" fontId="3" fillId="12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5" fillId="0" borderId="1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 vertical="center"/>
    </xf>
    <xf numFmtId="0" fontId="38" fillId="0" borderId="0" xfId="0" applyFont="1" applyAlignment="1"/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164" fontId="0" fillId="8" borderId="9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5" borderId="2" xfId="0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164" fontId="0" fillId="15" borderId="9" xfId="0" applyNumberFormat="1" applyFill="1" applyBorder="1" applyAlignment="1">
      <alignment horizontal="center" vertical="center"/>
    </xf>
    <xf numFmtId="164" fontId="0" fillId="15" borderId="6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0" fillId="15" borderId="10" xfId="0" applyFill="1" applyBorder="1" applyAlignment="1">
      <alignment horizontal="center"/>
    </xf>
    <xf numFmtId="1" fontId="7" fillId="16" borderId="1" xfId="0" applyNumberFormat="1" applyFont="1" applyFill="1" applyBorder="1" applyAlignment="1">
      <alignment horizontal="center" vertical="center"/>
    </xf>
    <xf numFmtId="164" fontId="3" fillId="7" borderId="11" xfId="1" applyNumberFormat="1" applyFont="1" applyFill="1" applyBorder="1"/>
    <xf numFmtId="9" fontId="3" fillId="12" borderId="11" xfId="1" applyFont="1" applyFill="1" applyBorder="1" applyAlignment="1">
      <alignment horizontal="center" vertical="center"/>
    </xf>
    <xf numFmtId="2" fontId="0" fillId="12" borderId="11" xfId="0" applyNumberFormat="1" applyFill="1" applyBorder="1" applyAlignment="1">
      <alignment horizontal="center" vertical="center"/>
    </xf>
    <xf numFmtId="0" fontId="39" fillId="0" borderId="0" xfId="0" applyFont="1"/>
    <xf numFmtId="0" fontId="3" fillId="7" borderId="12" xfId="0" applyFont="1" applyFill="1" applyBorder="1" applyAlignment="1"/>
    <xf numFmtId="0" fontId="3" fillId="7" borderId="13" xfId="0" applyFont="1" applyFill="1" applyBorder="1" applyAlignment="1"/>
    <xf numFmtId="0" fontId="3" fillId="7" borderId="10" xfId="0" applyFont="1" applyFill="1" applyBorder="1" applyAlignment="1"/>
    <xf numFmtId="0" fontId="27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35" fillId="0" borderId="0" xfId="0" applyFont="1" applyFill="1" applyBorder="1"/>
    <xf numFmtId="0" fontId="35" fillId="0" borderId="0" xfId="0" applyFont="1" applyFill="1"/>
    <xf numFmtId="49" fontId="11" fillId="0" borderId="1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7" fillId="16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165" fontId="35" fillId="0" borderId="0" xfId="0" applyNumberFormat="1" applyFont="1"/>
    <xf numFmtId="0" fontId="37" fillId="0" borderId="1" xfId="0" applyFont="1" applyBorder="1" applyAlignment="1">
      <alignment horizontal="left" wrapText="1"/>
    </xf>
    <xf numFmtId="165" fontId="3" fillId="12" borderId="1" xfId="1" applyNumberFormat="1" applyFont="1" applyFill="1" applyBorder="1" applyAlignment="1">
      <alignment horizontal="center" vertical="center"/>
    </xf>
    <xf numFmtId="165" fontId="37" fillId="0" borderId="1" xfId="1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Border="1" applyAlignment="1">
      <alignment horizontal="center"/>
    </xf>
    <xf numFmtId="0" fontId="0" fillId="8" borderId="3" xfId="0" applyFill="1" applyBorder="1"/>
    <xf numFmtId="0" fontId="26" fillId="13" borderId="7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2" fontId="40" fillId="0" borderId="1" xfId="0" applyNumberFormat="1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0" xfId="0" applyFont="1" applyBorder="1" applyAlignment="1"/>
    <xf numFmtId="0" fontId="40" fillId="0" borderId="12" xfId="0" applyFont="1" applyBorder="1" applyAlignment="1">
      <alignment horizontal="right"/>
    </xf>
    <xf numFmtId="0" fontId="40" fillId="0" borderId="1" xfId="0" applyFont="1" applyBorder="1" applyAlignment="1">
      <alignment horizontal="left"/>
    </xf>
    <xf numFmtId="0" fontId="40" fillId="0" borderId="1" xfId="0" applyFont="1" applyBorder="1"/>
    <xf numFmtId="0" fontId="40" fillId="0" borderId="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65" fontId="35" fillId="0" borderId="0" xfId="2" applyNumberFormat="1" applyFont="1" applyFill="1" applyBorder="1" applyAlignment="1" applyProtection="1">
      <alignment horizontal="center" vertical="center"/>
    </xf>
    <xf numFmtId="165" fontId="35" fillId="0" borderId="0" xfId="0" applyNumberFormat="1" applyFont="1" applyBorder="1" applyAlignment="1">
      <alignment horizontal="center" vertical="center"/>
    </xf>
    <xf numFmtId="10" fontId="35" fillId="0" borderId="0" xfId="0" applyNumberFormat="1" applyFont="1"/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6" fillId="13" borderId="7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1" fillId="3" borderId="6" xfId="1" applyNumberFormat="1" applyFont="1" applyFill="1" applyBorder="1" applyAlignment="1">
      <alignment horizontal="center" vertical="center"/>
    </xf>
    <xf numFmtId="165" fontId="1" fillId="3" borderId="14" xfId="1" applyNumberFormat="1" applyFont="1" applyFill="1" applyBorder="1" applyAlignment="1">
      <alignment horizontal="center" vertical="center"/>
    </xf>
    <xf numFmtId="165" fontId="1" fillId="8" borderId="6" xfId="1" applyNumberFormat="1" applyFont="1" applyFill="1" applyBorder="1" applyAlignment="1">
      <alignment horizontal="center" vertical="center"/>
    </xf>
    <xf numFmtId="165" fontId="1" fillId="8" borderId="14" xfId="1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wrapText="1"/>
    </xf>
    <xf numFmtId="0" fontId="0" fillId="8" borderId="10" xfId="0" applyFill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vertical="center" wrapText="1"/>
    </xf>
    <xf numFmtId="0" fontId="41" fillId="0" borderId="0" xfId="0" applyFont="1"/>
    <xf numFmtId="0" fontId="0" fillId="17" borderId="19" xfId="0" applyFont="1" applyFill="1" applyBorder="1"/>
    <xf numFmtId="0" fontId="0" fillId="17" borderId="20" xfId="0" applyFont="1" applyFill="1" applyBorder="1"/>
    <xf numFmtId="0" fontId="0" fillId="17" borderId="0" xfId="0" applyFont="1" applyFill="1" applyBorder="1"/>
    <xf numFmtId="0" fontId="0" fillId="17" borderId="21" xfId="0" applyFont="1" applyFill="1" applyBorder="1"/>
    <xf numFmtId="0" fontId="17" fillId="17" borderId="20" xfId="0" applyFont="1" applyFill="1" applyBorder="1"/>
    <xf numFmtId="0" fontId="17" fillId="17" borderId="0" xfId="0" applyFont="1" applyFill="1" applyBorder="1" applyAlignment="1">
      <alignment horizontal="justify"/>
    </xf>
    <xf numFmtId="0" fontId="17" fillId="17" borderId="7" xfId="0" applyFont="1" applyFill="1" applyBorder="1" applyAlignment="1">
      <alignment horizontal="center"/>
    </xf>
    <xf numFmtId="0" fontId="17" fillId="17" borderId="22" xfId="0" applyFont="1" applyFill="1" applyBorder="1" applyAlignment="1">
      <alignment horizontal="center"/>
    </xf>
    <xf numFmtId="0" fontId="17" fillId="17" borderId="21" xfId="0" applyFont="1" applyFill="1" applyBorder="1" applyAlignment="1">
      <alignment horizontal="justify"/>
    </xf>
    <xf numFmtId="0" fontId="18" fillId="17" borderId="4" xfId="0" applyFont="1" applyFill="1" applyBorder="1" applyAlignment="1">
      <alignment horizontal="center" vertical="center" wrapText="1"/>
    </xf>
    <xf numFmtId="0" fontId="18" fillId="17" borderId="23" xfId="0" applyFont="1" applyFill="1" applyBorder="1" applyAlignment="1">
      <alignment horizontal="center" vertical="center" wrapText="1"/>
    </xf>
    <xf numFmtId="0" fontId="18" fillId="17" borderId="20" xfId="0" applyFont="1" applyFill="1" applyBorder="1"/>
    <xf numFmtId="0" fontId="18" fillId="17" borderId="0" xfId="0" applyFont="1" applyFill="1" applyBorder="1" applyAlignment="1">
      <alignment horizontal="justify"/>
    </xf>
    <xf numFmtId="0" fontId="0" fillId="17" borderId="24" xfId="0" applyFont="1" applyFill="1" applyBorder="1"/>
    <xf numFmtId="0" fontId="0" fillId="17" borderId="25" xfId="0" applyFont="1" applyFill="1" applyBorder="1"/>
    <xf numFmtId="0" fontId="0" fillId="17" borderId="26" xfId="0" applyFont="1" applyFill="1" applyBorder="1"/>
    <xf numFmtId="0" fontId="0" fillId="15" borderId="10" xfId="0" applyFill="1" applyBorder="1" applyAlignment="1">
      <alignment horizontal="center" vertical="center"/>
    </xf>
    <xf numFmtId="164" fontId="0" fillId="15" borderId="16" xfId="0" applyNumberForma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justify"/>
    </xf>
    <xf numFmtId="0" fontId="17" fillId="17" borderId="21" xfId="0" applyFont="1" applyFill="1" applyBorder="1" applyAlignment="1">
      <alignment horizontal="justify"/>
    </xf>
    <xf numFmtId="0" fontId="33" fillId="17" borderId="29" xfId="0" applyFont="1" applyFill="1" applyBorder="1" applyAlignment="1">
      <alignment horizontal="center"/>
    </xf>
    <xf numFmtId="0" fontId="33" fillId="17" borderId="30" xfId="0" applyFont="1" applyFill="1" applyBorder="1" applyAlignment="1">
      <alignment horizontal="center"/>
    </xf>
    <xf numFmtId="0" fontId="17" fillId="17" borderId="0" xfId="0" applyFont="1" applyFill="1" applyBorder="1" applyAlignment="1">
      <alignment horizontal="justify" wrapText="1"/>
    </xf>
    <xf numFmtId="0" fontId="17" fillId="17" borderId="21" xfId="0" applyFont="1" applyFill="1" applyBorder="1" applyAlignment="1">
      <alignment horizontal="justify" wrapText="1"/>
    </xf>
    <xf numFmtId="0" fontId="27" fillId="17" borderId="0" xfId="0" applyFont="1" applyFill="1" applyBorder="1" applyAlignment="1">
      <alignment horizontal="justify"/>
    </xf>
    <xf numFmtId="0" fontId="27" fillId="17" borderId="21" xfId="0" applyFont="1" applyFill="1" applyBorder="1" applyAlignment="1">
      <alignment horizontal="justify"/>
    </xf>
    <xf numFmtId="0" fontId="17" fillId="17" borderId="27" xfId="0" applyFont="1" applyFill="1" applyBorder="1" applyAlignment="1">
      <alignment horizontal="center"/>
    </xf>
    <xf numFmtId="0" fontId="17" fillId="17" borderId="7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left" vertical="center" wrapText="1"/>
    </xf>
    <xf numFmtId="0" fontId="18" fillId="17" borderId="12" xfId="0" applyFont="1" applyFill="1" applyBorder="1" applyAlignment="1">
      <alignment horizontal="center" vertical="center" wrapText="1"/>
    </xf>
    <xf numFmtId="0" fontId="18" fillId="17" borderId="28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left" vertical="center" wrapText="1"/>
    </xf>
    <xf numFmtId="0" fontId="17" fillId="17" borderId="6" xfId="0" applyFont="1" applyFill="1" applyBorder="1" applyAlignment="1">
      <alignment horizontal="left" vertical="center" wrapText="1"/>
    </xf>
    <xf numFmtId="0" fontId="18" fillId="17" borderId="6" xfId="0" applyFont="1" applyFill="1" applyBorder="1" applyAlignment="1">
      <alignment horizontal="center" vertical="center" wrapText="1"/>
    </xf>
    <xf numFmtId="0" fontId="18" fillId="17" borderId="14" xfId="0" applyFont="1" applyFill="1" applyBorder="1" applyAlignment="1">
      <alignment horizontal="center" vertical="center" wrapText="1"/>
    </xf>
    <xf numFmtId="0" fontId="19" fillId="17" borderId="0" xfId="0" applyFont="1" applyFill="1" applyBorder="1" applyAlignment="1">
      <alignment horizontal="justify"/>
    </xf>
    <xf numFmtId="0" fontId="19" fillId="17" borderId="0" xfId="0" applyFont="1" applyFill="1" applyBorder="1" applyAlignment="1">
      <alignment horizontal="left" wrapText="1"/>
    </xf>
    <xf numFmtId="0" fontId="19" fillId="17" borderId="21" xfId="0" applyFont="1" applyFill="1" applyBorder="1" applyAlignment="1">
      <alignment horizontal="left" wrapText="1"/>
    </xf>
    <xf numFmtId="0" fontId="34" fillId="17" borderId="0" xfId="0" applyFont="1" applyFill="1" applyBorder="1" applyAlignment="1">
      <alignment horizontal="justify" wrapText="1"/>
    </xf>
    <xf numFmtId="0" fontId="18" fillId="17" borderId="0" xfId="0" applyFont="1" applyFill="1" applyBorder="1" applyAlignment="1">
      <alignment horizontal="justify" wrapText="1"/>
    </xf>
    <xf numFmtId="0" fontId="18" fillId="17" borderId="21" xfId="0" applyFont="1" applyFill="1" applyBorder="1" applyAlignment="1">
      <alignment horizontal="justify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38" fillId="0" borderId="0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13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6" fillId="13" borderId="27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3" borderId="7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22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34" xfId="0" applyBorder="1" applyAlignment="1"/>
    <xf numFmtId="0" fontId="0" fillId="0" borderId="17" xfId="0" applyBorder="1" applyAlignment="1"/>
    <xf numFmtId="0" fontId="23" fillId="0" borderId="3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0" fillId="0" borderId="37" xfId="0" applyBorder="1" applyAlignment="1"/>
    <xf numFmtId="0" fontId="0" fillId="0" borderId="5" xfId="0" applyBorder="1" applyAlignment="1"/>
    <xf numFmtId="0" fontId="23" fillId="0" borderId="37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9" fontId="0" fillId="10" borderId="1" xfId="0" applyNumberFormat="1" applyFill="1" applyBorder="1" applyAlignment="1">
      <alignment horizontal="center"/>
    </xf>
    <xf numFmtId="0" fontId="20" fillId="0" borderId="4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18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4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/>
    <xf numFmtId="0" fontId="8" fillId="12" borderId="7" xfId="0" applyFont="1" applyFill="1" applyBorder="1" applyAlignment="1">
      <alignment horizontal="center" vertical="center" textRotation="90" wrapText="1"/>
    </xf>
    <xf numFmtId="0" fontId="8" fillId="12" borderId="1" xfId="0" applyFont="1" applyFill="1" applyBorder="1" applyAlignment="1">
      <alignment horizontal="center" vertical="center" textRotation="90" wrapText="1"/>
    </xf>
    <xf numFmtId="0" fontId="28" fillId="18" borderId="1" xfId="0" applyFont="1" applyFill="1" applyBorder="1" applyAlignment="1">
      <alignment horizontal="right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0" fontId="13" fillId="8" borderId="7" xfId="0" applyFont="1" applyFill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35" fillId="0" borderId="0" xfId="0" applyFont="1" applyAlignment="1">
      <alignment horizontal="center" wrapText="1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textRotation="90" wrapText="1"/>
    </xf>
    <xf numFmtId="0" fontId="35" fillId="0" borderId="0" xfId="0" applyFont="1" applyAlignment="1">
      <alignment horizontal="center" vertical="center"/>
    </xf>
    <xf numFmtId="0" fontId="8" fillId="5" borderId="7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7" borderId="2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/>
    </xf>
    <xf numFmtId="2" fontId="0" fillId="0" borderId="45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27" xfId="0" applyBorder="1" applyAlignment="1"/>
    <xf numFmtId="0" fontId="0" fillId="0" borderId="2" xfId="0" applyBorder="1" applyAlignment="1"/>
    <xf numFmtId="0" fontId="0" fillId="0" borderId="18" xfId="0" applyBorder="1" applyAlignment="1"/>
    <xf numFmtId="0" fontId="6" fillId="4" borderId="13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textRotation="90" wrapText="1"/>
    </xf>
    <xf numFmtId="0" fontId="37" fillId="0" borderId="4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Процентный" xfId="1" builtin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Обязательной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'Ф1-ОУ'!$B$11:$B$12</c:f>
              <c:strCache>
                <c:ptCount val="2"/>
                <c:pt idx="0">
                  <c:v>НЕ СПРАВИЛИСЬ С РАБОТОЙ</c:v>
                </c:pt>
                <c:pt idx="1">
                  <c:v>СПРАВИЛИСЬ С РАБОТОЙ НА БАЗОВОМ УРОВНЕ </c:v>
                </c:pt>
              </c:strCache>
            </c:strRef>
          </c:cat>
          <c:val>
            <c:numRef>
              <c:f>'Ф1-ОУ'!$D$11:$D$12</c:f>
              <c:numCache>
                <c:formatCode>0.0%</c:formatCode>
                <c:ptCount val="2"/>
                <c:pt idx="0">
                  <c:v>0.94117647058823528</c:v>
                </c:pt>
                <c:pt idx="1">
                  <c:v>0.23529411764705882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93472"/>
        <c:axId val="89150208"/>
      </c:barChart>
      <c:catAx>
        <c:axId val="891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8919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Общий результат</a:t>
            </a:r>
            <a:r>
              <a:rPr lang="ru-RU" sz="1200" baseline="0"/>
              <a:t> (проценты)</a:t>
            </a:r>
            <a:endParaRPr lang="ru-RU" sz="120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'Ф4-ОУ'!$C$3:$D$3</c:f>
              <c:strCache>
                <c:ptCount val="1"/>
                <c:pt idx="0">
                  <c:v>Не справились с работой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'Ф4-ОУ'!$B$4:$B$7</c:f>
              <c:strCache>
                <c:ptCount val="4"/>
                <c:pt idx="0">
                  <c:v>1А</c:v>
                </c:pt>
                <c:pt idx="1">
                  <c:v>1Б</c:v>
                </c:pt>
                <c:pt idx="2">
                  <c:v>1В</c:v>
                </c:pt>
                <c:pt idx="3">
                  <c:v>ОУ</c:v>
                </c:pt>
              </c:strCache>
            </c:strRef>
          </c:cat>
          <c:val>
            <c:numRef>
              <c:f>'Ф4-ОУ'!$D$4:$D$7</c:f>
              <c:numCache>
                <c:formatCode>0.0%</c:formatCode>
                <c:ptCount val="4"/>
                <c:pt idx="0">
                  <c:v>0.6</c:v>
                </c:pt>
                <c:pt idx="1">
                  <c:v>0.90476190476190477</c:v>
                </c:pt>
                <c:pt idx="2">
                  <c:v>0.89473684210526316</c:v>
                </c:pt>
                <c:pt idx="3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'Ф4-ОУ'!$E$3:$F$3</c:f>
              <c:strCache>
                <c:ptCount val="1"/>
                <c:pt idx="0">
                  <c:v>Справились с работой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'Ф4-ОУ'!$B$4:$B$7</c:f>
              <c:strCache>
                <c:ptCount val="4"/>
                <c:pt idx="0">
                  <c:v>1А</c:v>
                </c:pt>
                <c:pt idx="1">
                  <c:v>1Б</c:v>
                </c:pt>
                <c:pt idx="2">
                  <c:v>1В</c:v>
                </c:pt>
                <c:pt idx="3">
                  <c:v>ОУ</c:v>
                </c:pt>
              </c:strCache>
            </c:strRef>
          </c:cat>
          <c:val>
            <c:numRef>
              <c:f>'Ф4-ОУ'!$F$4:$F$7</c:f>
              <c:numCache>
                <c:formatCode>0.0%</c:formatCode>
                <c:ptCount val="4"/>
                <c:pt idx="0">
                  <c:v>0.4</c:v>
                </c:pt>
                <c:pt idx="1">
                  <c:v>9.5238095238095233E-2</c:v>
                </c:pt>
                <c:pt idx="2">
                  <c:v>0.10526315789473684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40864"/>
        <c:axId val="91142400"/>
      </c:barChart>
      <c:catAx>
        <c:axId val="911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142400"/>
        <c:crosses val="autoZero"/>
        <c:auto val="1"/>
        <c:lblAlgn val="ctr"/>
        <c:lblOffset val="100"/>
        <c:noMultiLvlLbl val="0"/>
      </c:catAx>
      <c:valAx>
        <c:axId val="91142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91140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Статистика выполнения заданий по ОУ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выполнения заданий</c:v>
          </c:tx>
          <c:spPr>
            <a:gradFill flip="none" rotWithShape="1">
              <a:gsLst>
                <a:gs pos="0">
                  <a:schemeClr val="accent4">
                    <a:lumMod val="60000"/>
                    <a:lumOff val="40000"/>
                  </a:schemeClr>
                </a:gs>
                <a:gs pos="25000">
                  <a:schemeClr val="accent4">
                    <a:lumMod val="50000"/>
                  </a:schemeClr>
                </a:gs>
                <a:gs pos="75000">
                  <a:schemeClr val="accent5">
                    <a:lumMod val="40000"/>
                    <a:lumOff val="60000"/>
                  </a:schemeClr>
                </a:gs>
                <a:gs pos="100000">
                  <a:schemeClr val="accent6"/>
                </a:gs>
              </a:gsLst>
              <a:lin ang="13500000" scaled="1"/>
              <a:tileRect/>
            </a:gradFill>
          </c:spPr>
          <c:invertIfNegative val="0"/>
          <c:val>
            <c:numRef>
              <c:f>'Ф2-ОУ'!$I$6:$I$15</c:f>
              <c:numCache>
                <c:formatCode>0.0%</c:formatCode>
                <c:ptCount val="10"/>
                <c:pt idx="0">
                  <c:v>0.72549019607843135</c:v>
                </c:pt>
                <c:pt idx="1">
                  <c:v>0.6470588235294118</c:v>
                </c:pt>
                <c:pt idx="2">
                  <c:v>0.70588235294117652</c:v>
                </c:pt>
                <c:pt idx="3">
                  <c:v>0.27450980392156865</c:v>
                </c:pt>
                <c:pt idx="4">
                  <c:v>0.49019607843137253</c:v>
                </c:pt>
                <c:pt idx="5">
                  <c:v>5.8823529411764705E-2</c:v>
                </c:pt>
                <c:pt idx="6">
                  <c:v>1.0196078431372548</c:v>
                </c:pt>
                <c:pt idx="7">
                  <c:v>0.62745098039215685</c:v>
                </c:pt>
                <c:pt idx="8">
                  <c:v>0.62745098039215685</c:v>
                </c:pt>
                <c:pt idx="9">
                  <c:v>0.52941176470588236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64032"/>
        <c:axId val="91178112"/>
      </c:barChart>
      <c:lineChart>
        <c:grouping val="standard"/>
        <c:varyColors val="0"/>
        <c:ser>
          <c:idx val="1"/>
          <c:order val="1"/>
          <c:tx>
            <c:v>Результативность выполнения работы</c:v>
          </c:tx>
          <c:marker>
            <c:symbol val="none"/>
          </c:marker>
          <c:cat>
            <c:numRef>
              <c:f>'Ф2-ОУ'!$H$6:$H$15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'Ф2-ОУ'!$J$6:$J$15</c:f>
              <c:numCache>
                <c:formatCode>0.00%</c:formatCode>
                <c:ptCount val="10"/>
                <c:pt idx="0">
                  <c:v>0.55686274509803924</c:v>
                </c:pt>
                <c:pt idx="1">
                  <c:v>0.55686274509803924</c:v>
                </c:pt>
                <c:pt idx="2">
                  <c:v>0.55686274509803924</c:v>
                </c:pt>
                <c:pt idx="3">
                  <c:v>0.55686274509803924</c:v>
                </c:pt>
                <c:pt idx="4">
                  <c:v>0.55686274509803924</c:v>
                </c:pt>
                <c:pt idx="5">
                  <c:v>0.55686274509803924</c:v>
                </c:pt>
                <c:pt idx="6">
                  <c:v>0.55686274509803924</c:v>
                </c:pt>
                <c:pt idx="7">
                  <c:v>0.55686274509803924</c:v>
                </c:pt>
                <c:pt idx="8">
                  <c:v>0.55686274509803924</c:v>
                </c:pt>
                <c:pt idx="9">
                  <c:v>0.55686274509803924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4032"/>
        <c:axId val="91178112"/>
      </c:lineChart>
      <c:catAx>
        <c:axId val="911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164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Средний тестовый балл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568134171907763E-2"/>
          <c:y val="0.18421052631578946"/>
          <c:w val="0.91194968553459121"/>
          <c:h val="0.56390977443609025"/>
        </c:manualLayout>
      </c:layout>
      <c:barChart>
        <c:barDir val="col"/>
        <c:grouping val="clustered"/>
        <c:varyColors val="0"/>
        <c:ser>
          <c:idx val="0"/>
          <c:order val="0"/>
          <c:tx>
            <c:v>Средний балл по классу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'Ф4-ОУ'!$B$4:$B$6</c:f>
              <c:strCache>
                <c:ptCount val="3"/>
                <c:pt idx="0">
                  <c:v>1А</c:v>
                </c:pt>
                <c:pt idx="1">
                  <c:v>1Б</c:v>
                </c:pt>
                <c:pt idx="2">
                  <c:v>1В</c:v>
                </c:pt>
              </c:strCache>
            </c:strRef>
          </c:cat>
          <c:val>
            <c:numRef>
              <c:f>'Ф4-ОУ'!$I$4:$I$6</c:f>
              <c:numCache>
                <c:formatCode>0.00</c:formatCode>
                <c:ptCount val="3"/>
                <c:pt idx="0">
                  <c:v>3.3888888888888888</c:v>
                </c:pt>
                <c:pt idx="1">
                  <c:v>2.25</c:v>
                </c:pt>
                <c:pt idx="2">
                  <c:v>2.6470588235294117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4224"/>
        <c:axId val="91206016"/>
      </c:barChart>
      <c:lineChart>
        <c:grouping val="standard"/>
        <c:varyColors val="0"/>
        <c:ser>
          <c:idx val="1"/>
          <c:order val="1"/>
          <c:tx>
            <c:v>Средний балл по ОУ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('Ф4-ОУ'!$I$7,'Ф4-ОУ'!$I$7,'Ф4-ОУ'!$I$7)</c:f>
              <c:numCache>
                <c:formatCode>0.00</c:formatCode>
                <c:ptCount val="3"/>
                <c:pt idx="0">
                  <c:v>2.784313725490196</c:v>
                </c:pt>
                <c:pt idx="1">
                  <c:v>2.784313725490196</c:v>
                </c:pt>
                <c:pt idx="2">
                  <c:v>2.784313725490196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4224"/>
        <c:axId val="91206016"/>
      </c:lineChart>
      <c:catAx>
        <c:axId val="912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  <c:max val="6"/>
          <c:min val="2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204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Результативность выполнения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Результативность по классу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'Ф4-ОУ'!$B$4:$B$6</c:f>
              <c:strCache>
                <c:ptCount val="3"/>
                <c:pt idx="0">
                  <c:v>1А</c:v>
                </c:pt>
                <c:pt idx="1">
                  <c:v>1Б</c:v>
                </c:pt>
                <c:pt idx="2">
                  <c:v>1В</c:v>
                </c:pt>
              </c:strCache>
            </c:strRef>
          </c:cat>
          <c:val>
            <c:numRef>
              <c:f>'Ф4-ОУ'!$J$4:$J$6</c:f>
              <c:numCache>
                <c:formatCode>0.0%</c:formatCode>
                <c:ptCount val="3"/>
                <c:pt idx="0">
                  <c:v>0.67777777777777781</c:v>
                </c:pt>
                <c:pt idx="1">
                  <c:v>0.45</c:v>
                </c:pt>
                <c:pt idx="2">
                  <c:v>0.52941176470588236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6192"/>
        <c:axId val="91577728"/>
      </c:barChart>
      <c:lineChart>
        <c:grouping val="standard"/>
        <c:varyColors val="0"/>
        <c:ser>
          <c:idx val="1"/>
          <c:order val="1"/>
          <c:tx>
            <c:v>Результативность по ОУ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('Ф4-ОУ'!$J$7,'Ф4-ОУ'!$J$7,'Ф4-ОУ'!$J$7)</c:f>
              <c:numCache>
                <c:formatCode>0.0%</c:formatCode>
                <c:ptCount val="3"/>
                <c:pt idx="0">
                  <c:v>0.55686274509803924</c:v>
                </c:pt>
                <c:pt idx="1">
                  <c:v>0.55686274509803924</c:v>
                </c:pt>
                <c:pt idx="2">
                  <c:v>0.55686274509803924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6192"/>
        <c:axId val="91577728"/>
      </c:lineChart>
      <c:catAx>
        <c:axId val="915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577728"/>
        <c:crosses val="autoZero"/>
        <c:auto val="1"/>
        <c:lblAlgn val="ctr"/>
        <c:lblOffset val="100"/>
        <c:noMultiLvlLbl val="0"/>
      </c:catAx>
      <c:valAx>
        <c:axId val="9157772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576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Общий результат (количество)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'Ф4-ОУ'!$C$3:$D$3</c:f>
              <c:strCache>
                <c:ptCount val="1"/>
                <c:pt idx="0">
                  <c:v>Не справились с работой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'Ф4-ОУ'!$B$4:$B$7</c:f>
              <c:strCache>
                <c:ptCount val="4"/>
                <c:pt idx="0">
                  <c:v>1А</c:v>
                </c:pt>
                <c:pt idx="1">
                  <c:v>1Б</c:v>
                </c:pt>
                <c:pt idx="2">
                  <c:v>1В</c:v>
                </c:pt>
                <c:pt idx="3">
                  <c:v>ОУ</c:v>
                </c:pt>
              </c:strCache>
            </c:strRef>
          </c:cat>
          <c:val>
            <c:numRef>
              <c:f>'Ф4-ОУ'!$C$4:$C$7</c:f>
              <c:numCache>
                <c:formatCode>General</c:formatCode>
                <c:ptCount val="4"/>
                <c:pt idx="0">
                  <c:v>12</c:v>
                </c:pt>
                <c:pt idx="1">
                  <c:v>19</c:v>
                </c:pt>
                <c:pt idx="2">
                  <c:v>17</c:v>
                </c:pt>
                <c:pt idx="3">
                  <c:v>48</c:v>
                </c:pt>
              </c:numCache>
            </c:numRef>
          </c:val>
        </c:ser>
        <c:ser>
          <c:idx val="1"/>
          <c:order val="1"/>
          <c:tx>
            <c:strRef>
              <c:f>'Ф4-ОУ'!$E$3:$F$3</c:f>
              <c:strCache>
                <c:ptCount val="1"/>
                <c:pt idx="0">
                  <c:v>Справились с работой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'Ф4-ОУ'!$B$4:$B$7</c:f>
              <c:strCache>
                <c:ptCount val="4"/>
                <c:pt idx="0">
                  <c:v>1А</c:v>
                </c:pt>
                <c:pt idx="1">
                  <c:v>1Б</c:v>
                </c:pt>
                <c:pt idx="2">
                  <c:v>1В</c:v>
                </c:pt>
                <c:pt idx="3">
                  <c:v>ОУ</c:v>
                </c:pt>
              </c:strCache>
            </c:strRef>
          </c:cat>
          <c:val>
            <c:numRef>
              <c:f>'Ф4-ОУ'!$E$4:$E$7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231360"/>
        <c:axId val="91232896"/>
      </c:barChart>
      <c:catAx>
        <c:axId val="912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232896"/>
        <c:crosses val="autoZero"/>
        <c:auto val="1"/>
        <c:lblAlgn val="ctr"/>
        <c:lblOffset val="100"/>
        <c:noMultiLvlLbl val="0"/>
      </c:catAx>
      <c:valAx>
        <c:axId val="91232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9123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00698534730404"/>
          <c:y val="0.89842502360472265"/>
          <c:w val="0.72257672515345028"/>
          <c:h val="7.957277617525537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Достигли повышенного уровня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'Ф4-ОУ'!$G$3:$H$3</c:f>
              <c:strCache>
                <c:ptCount val="1"/>
                <c:pt idx="0">
                  <c:v>Достигли повышенного уровня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'Ф4-ОУ'!$B$4:$B$7</c:f>
              <c:strCache>
                <c:ptCount val="4"/>
                <c:pt idx="0">
                  <c:v>1А</c:v>
                </c:pt>
                <c:pt idx="1">
                  <c:v>1Б</c:v>
                </c:pt>
                <c:pt idx="2">
                  <c:v>1В</c:v>
                </c:pt>
                <c:pt idx="3">
                  <c:v>ОУ</c:v>
                </c:pt>
              </c:strCache>
            </c:strRef>
          </c:cat>
          <c:val>
            <c:numRef>
              <c:f>'Ф4-ОУ'!$H$4:$H$7</c:f>
              <c:numCache>
                <c:formatCode>0.0%</c:formatCode>
                <c:ptCount val="4"/>
                <c:pt idx="0">
                  <c:v>0.35</c:v>
                </c:pt>
                <c:pt idx="1">
                  <c:v>9.5238095238095233E-2</c:v>
                </c:pt>
                <c:pt idx="2">
                  <c:v>5.2631578947368418E-2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53760"/>
        <c:axId val="91263744"/>
      </c:barChart>
      <c:catAx>
        <c:axId val="912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263744"/>
        <c:crosses val="autoZero"/>
        <c:auto val="1"/>
        <c:lblAlgn val="ctr"/>
        <c:lblOffset val="100"/>
        <c:noMultiLvlLbl val="0"/>
      </c:catAx>
      <c:valAx>
        <c:axId val="9126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9125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Баллы, набранные участником тестирования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206386617457225E-2"/>
          <c:y val="8.962206401516104E-2"/>
          <c:w val="0.92567747607102524"/>
          <c:h val="0.69070899683865405"/>
        </c:manualLayout>
      </c:layout>
      <c:barChart>
        <c:barDir val="col"/>
        <c:grouping val="clustered"/>
        <c:varyColors val="0"/>
        <c:ser>
          <c:idx val="0"/>
          <c:order val="0"/>
          <c:tx>
            <c:v>Баллы, набранные учащимся</c:v>
          </c:tx>
          <c:invertIfNegative val="0"/>
          <c:val>
            <c:numRef>
              <c:f>'Ф2-Г1'!$N$12:$N$46</c:f>
              <c:numCache>
                <c:formatCode>General</c:formatCode>
                <c:ptCount val="3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86528"/>
        <c:axId val="89292800"/>
      </c:barChart>
      <c:lineChart>
        <c:grouping val="standard"/>
        <c:varyColors val="0"/>
        <c:ser>
          <c:idx val="1"/>
          <c:order val="1"/>
          <c:tx>
            <c:v>Средний тестовый балл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'Ф2-Г1'!$E$12:$E$46</c:f>
              <c:strCache>
                <c:ptCount val="2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'Ф2-Г1'!$X$12:$X$46</c:f>
              <c:numCache>
                <c:formatCode>0.00</c:formatCode>
                <c:ptCount val="35"/>
                <c:pt idx="0">
                  <c:v>3.3888888888888888</c:v>
                </c:pt>
                <c:pt idx="1">
                  <c:v>3.3888888888888888</c:v>
                </c:pt>
                <c:pt idx="2">
                  <c:v>3.3888888888888888</c:v>
                </c:pt>
                <c:pt idx="3">
                  <c:v>3.3888888888888888</c:v>
                </c:pt>
                <c:pt idx="4">
                  <c:v>3.3888888888888888</c:v>
                </c:pt>
                <c:pt idx="5">
                  <c:v>3.3888888888888888</c:v>
                </c:pt>
                <c:pt idx="6">
                  <c:v>3.3888888888888888</c:v>
                </c:pt>
                <c:pt idx="7">
                  <c:v>3.3888888888888888</c:v>
                </c:pt>
                <c:pt idx="8">
                  <c:v>3.3888888888888888</c:v>
                </c:pt>
                <c:pt idx="9">
                  <c:v>3.3888888888888888</c:v>
                </c:pt>
                <c:pt idx="10">
                  <c:v>3.3888888888888888</c:v>
                </c:pt>
                <c:pt idx="11">
                  <c:v>3.3888888888888888</c:v>
                </c:pt>
                <c:pt idx="12">
                  <c:v>3.3888888888888888</c:v>
                </c:pt>
                <c:pt idx="13">
                  <c:v>3.3888888888888888</c:v>
                </c:pt>
                <c:pt idx="14">
                  <c:v>3.3888888888888888</c:v>
                </c:pt>
                <c:pt idx="15">
                  <c:v>3.3888888888888888</c:v>
                </c:pt>
                <c:pt idx="16">
                  <c:v>3.3888888888888888</c:v>
                </c:pt>
                <c:pt idx="17">
                  <c:v>3.3888888888888888</c:v>
                </c:pt>
                <c:pt idx="18">
                  <c:v>3.3888888888888888</c:v>
                </c:pt>
                <c:pt idx="19">
                  <c:v>3.3888888888888888</c:v>
                </c:pt>
                <c:pt idx="20">
                  <c:v>3.3888888888888888</c:v>
                </c:pt>
                <c:pt idx="21">
                  <c:v>3.3888888888888888</c:v>
                </c:pt>
                <c:pt idx="22">
                  <c:v>3.3888888888888888</c:v>
                </c:pt>
                <c:pt idx="23">
                  <c:v>3.3888888888888888</c:v>
                </c:pt>
                <c:pt idx="24">
                  <c:v>3.3888888888888888</c:v>
                </c:pt>
                <c:pt idx="25">
                  <c:v>3.3888888888888888</c:v>
                </c:pt>
                <c:pt idx="26">
                  <c:v>3.3888888888888888</c:v>
                </c:pt>
                <c:pt idx="27">
                  <c:v>3.3888888888888888</c:v>
                </c:pt>
                <c:pt idx="28">
                  <c:v>3.3888888888888888</c:v>
                </c:pt>
                <c:pt idx="29">
                  <c:v>3.3888888888888888</c:v>
                </c:pt>
                <c:pt idx="30">
                  <c:v>3.3888888888888888</c:v>
                </c:pt>
                <c:pt idx="31">
                  <c:v>3.3888888888888888</c:v>
                </c:pt>
                <c:pt idx="32">
                  <c:v>3.3888888888888888</c:v>
                </c:pt>
                <c:pt idx="33">
                  <c:v>3.3888888888888888</c:v>
                </c:pt>
                <c:pt idx="34">
                  <c:v>3.3888888888888888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6528"/>
        <c:axId val="89292800"/>
      </c:lineChart>
      <c:catAx>
        <c:axId val="8928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Учащиеся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9292800"/>
        <c:crosses val="autoZero"/>
        <c:auto val="1"/>
        <c:lblAlgn val="ctr"/>
        <c:lblOffset val="100"/>
        <c:noMultiLvlLbl val="0"/>
      </c:catAx>
      <c:valAx>
        <c:axId val="8929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Набранные баллы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92865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Результативность участника тестирования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62227764214988E-2"/>
          <c:y val="8.8143594960895078E-2"/>
          <c:w val="0.91179829148655389"/>
          <c:h val="0.72412012277111182"/>
        </c:manualLayout>
      </c:layout>
      <c:barChart>
        <c:barDir val="col"/>
        <c:grouping val="clustered"/>
        <c:varyColors val="0"/>
        <c:ser>
          <c:idx val="0"/>
          <c:order val="0"/>
          <c:tx>
            <c:v>Результативность учащегося</c:v>
          </c:tx>
          <c:invertIfNegative val="0"/>
          <c:cat>
            <c:strRef>
              <c:f>'Ф2-Г1'!$E$12:$E$46</c:f>
              <c:strCache>
                <c:ptCount val="2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'Ф2-Г1'!$Y$12:$Y$46</c:f>
              <c:numCache>
                <c:formatCode>0%</c:formatCode>
                <c:ptCount val="35"/>
                <c:pt idx="0">
                  <c:v>0.6</c:v>
                </c:pt>
                <c:pt idx="1">
                  <c:v>0.4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0.8</c:v>
                </c:pt>
                <c:pt idx="6">
                  <c:v>0.2</c:v>
                </c:pt>
                <c:pt idx="7">
                  <c:v>1</c:v>
                </c:pt>
                <c:pt idx="8">
                  <c:v>0.8</c:v>
                </c:pt>
                <c:pt idx="9">
                  <c:v>0.8</c:v>
                </c:pt>
                <c:pt idx="10">
                  <c:v>0.2</c:v>
                </c:pt>
                <c:pt idx="11">
                  <c:v>0.2</c:v>
                </c:pt>
                <c:pt idx="12">
                  <c:v>0.8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0.8</c:v>
                </c:pt>
                <c:pt idx="18">
                  <c:v>0.8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96736"/>
        <c:axId val="89398656"/>
      </c:barChart>
      <c:lineChart>
        <c:grouping val="standard"/>
        <c:varyColors val="0"/>
        <c:ser>
          <c:idx val="1"/>
          <c:order val="1"/>
          <c:tx>
            <c:v>Результативность всей работы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'Ф2-Г1'!$E$12:$E$46</c:f>
              <c:strCache>
                <c:ptCount val="2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'Ф2-Г1'!$Z$12:$Z$46</c:f>
              <c:numCache>
                <c:formatCode>0%</c:formatCode>
                <c:ptCount val="35"/>
                <c:pt idx="0">
                  <c:v>0.67777777777777781</c:v>
                </c:pt>
                <c:pt idx="1">
                  <c:v>0.67777777777777781</c:v>
                </c:pt>
                <c:pt idx="2">
                  <c:v>0.67777777777777781</c:v>
                </c:pt>
                <c:pt idx="3">
                  <c:v>0.67777777777777781</c:v>
                </c:pt>
                <c:pt idx="4">
                  <c:v>0.67777777777777781</c:v>
                </c:pt>
                <c:pt idx="5">
                  <c:v>0.67777777777777781</c:v>
                </c:pt>
                <c:pt idx="6">
                  <c:v>0.67777777777777781</c:v>
                </c:pt>
                <c:pt idx="7">
                  <c:v>0.67777777777777781</c:v>
                </c:pt>
                <c:pt idx="8">
                  <c:v>0.67777777777777781</c:v>
                </c:pt>
                <c:pt idx="9">
                  <c:v>0.67777777777777781</c:v>
                </c:pt>
                <c:pt idx="10">
                  <c:v>0.67777777777777781</c:v>
                </c:pt>
                <c:pt idx="11">
                  <c:v>0.67777777777777781</c:v>
                </c:pt>
                <c:pt idx="12">
                  <c:v>0.67777777777777781</c:v>
                </c:pt>
                <c:pt idx="13">
                  <c:v>0.67777777777777781</c:v>
                </c:pt>
                <c:pt idx="14">
                  <c:v>0.67777777777777781</c:v>
                </c:pt>
                <c:pt idx="15">
                  <c:v>0.67777777777777781</c:v>
                </c:pt>
                <c:pt idx="16">
                  <c:v>0.67777777777777781</c:v>
                </c:pt>
                <c:pt idx="17">
                  <c:v>0.67777777777777781</c:v>
                </c:pt>
                <c:pt idx="18">
                  <c:v>0.67777777777777781</c:v>
                </c:pt>
                <c:pt idx="19">
                  <c:v>0.67777777777777781</c:v>
                </c:pt>
                <c:pt idx="20">
                  <c:v>0.67777777777777781</c:v>
                </c:pt>
                <c:pt idx="21">
                  <c:v>0.67777777777777781</c:v>
                </c:pt>
                <c:pt idx="22">
                  <c:v>0.67777777777777781</c:v>
                </c:pt>
                <c:pt idx="23">
                  <c:v>0.67777777777777781</c:v>
                </c:pt>
                <c:pt idx="24">
                  <c:v>0.67777777777777781</c:v>
                </c:pt>
                <c:pt idx="25">
                  <c:v>0.67777777777777781</c:v>
                </c:pt>
                <c:pt idx="26">
                  <c:v>0.67777777777777781</c:v>
                </c:pt>
                <c:pt idx="27">
                  <c:v>0.67777777777777781</c:v>
                </c:pt>
                <c:pt idx="28">
                  <c:v>0.67777777777777781</c:v>
                </c:pt>
                <c:pt idx="29">
                  <c:v>0.67777777777777781</c:v>
                </c:pt>
                <c:pt idx="30">
                  <c:v>0.67777777777777781</c:v>
                </c:pt>
                <c:pt idx="31">
                  <c:v>0.67777777777777781</c:v>
                </c:pt>
                <c:pt idx="32">
                  <c:v>0.67777777777777781</c:v>
                </c:pt>
                <c:pt idx="33">
                  <c:v>0.67777777777777781</c:v>
                </c:pt>
                <c:pt idx="34">
                  <c:v>0.67777777777777781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6736"/>
        <c:axId val="89398656"/>
      </c:lineChart>
      <c:catAx>
        <c:axId val="8939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Учащиеся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9398656"/>
        <c:crosses val="autoZero"/>
        <c:auto val="1"/>
        <c:lblAlgn val="ctr"/>
        <c:lblOffset val="100"/>
        <c:noMultiLvlLbl val="0"/>
      </c:catAx>
      <c:valAx>
        <c:axId val="89398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Результативность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9396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Обязательной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'Ф1-Г1'!$B$11:$B$12</c:f>
              <c:strCache>
                <c:ptCount val="2"/>
                <c:pt idx="0">
                  <c:v>НЕ СПРАВИЛИСЬ С РАБОТОЙ</c:v>
                </c:pt>
                <c:pt idx="1">
                  <c:v>СПРАВИЛИСЬ С РАБОТОЙ НА БАЗОВОМ УРОВНЕ </c:v>
                </c:pt>
              </c:strCache>
            </c:strRef>
          </c:cat>
          <c:val>
            <c:numRef>
              <c:f>'Ф1-Г1'!$D$11:$D$12</c:f>
              <c:numCache>
                <c:formatCode>0.0%</c:formatCode>
                <c:ptCount val="2"/>
                <c:pt idx="0">
                  <c:v>0.66666666666666663</c:v>
                </c:pt>
                <c:pt idx="1">
                  <c:v>0.44444444444444442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0640"/>
        <c:axId val="89442176"/>
      </c:barChart>
      <c:catAx>
        <c:axId val="894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9442176"/>
        <c:crosses val="autoZero"/>
        <c:auto val="1"/>
        <c:lblAlgn val="ctr"/>
        <c:lblOffset val="100"/>
        <c:noMultiLvlLbl val="0"/>
      </c:catAx>
      <c:valAx>
        <c:axId val="89442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894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6153836835486253E-2"/>
                  <c:y val="-3.324099722991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461530696238505E-2"/>
                  <c:y val="-5.909510618651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'Ф1-Г1'!$B$13:$B$14</c:f>
              <c:strCache>
                <c:ptCount val="2"/>
                <c:pt idx="0">
                  <c:v>ДОСТИГЛИ ПОВЫШЕННОГО УРОВНЯ</c:v>
                </c:pt>
                <c:pt idx="1">
                  <c:v>НЕ ДОСТИГЛИ ПОВЫШЕННОГО УРОВНЯ</c:v>
                </c:pt>
              </c:strCache>
            </c:strRef>
          </c:cat>
          <c:val>
            <c:numRef>
              <c:f>'Ф1-Г1'!$D$13:$D$14</c:f>
              <c:numCache>
                <c:formatCode>0.0%</c:formatCode>
                <c:ptCount val="2"/>
                <c:pt idx="0">
                  <c:v>0.3888888888888889</c:v>
                </c:pt>
                <c:pt idx="1">
                  <c:v>0.72222222222222221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298048"/>
        <c:axId val="91308032"/>
        <c:axId val="0"/>
      </c:bar3DChart>
      <c:catAx>
        <c:axId val="912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08032"/>
        <c:crosses val="autoZero"/>
        <c:auto val="1"/>
        <c:lblAlgn val="ctr"/>
        <c:lblOffset val="100"/>
        <c:noMultiLvlLbl val="0"/>
      </c:catAx>
      <c:valAx>
        <c:axId val="91308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129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6153836835486253E-2"/>
                  <c:y val="-3.324099722991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461530696238505E-2"/>
                  <c:y val="-5.909510618651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'Ф1-ОУ'!$B$13:$B$14</c:f>
              <c:strCache>
                <c:ptCount val="2"/>
                <c:pt idx="0">
                  <c:v>ДОСТИГЛИ ПОВЫШЕННОГО УРОВНЯ</c:v>
                </c:pt>
                <c:pt idx="1">
                  <c:v>НЕ ДОСТИГЛИ ПОВЫШЕННОГО УРОВНЯ</c:v>
                </c:pt>
              </c:strCache>
            </c:strRef>
          </c:cat>
          <c:val>
            <c:numRef>
              <c:f>'Ф1-ОУ'!$D$13:$D$14</c:f>
              <c:numCache>
                <c:formatCode>0.0%</c:formatCode>
                <c:ptCount val="2"/>
                <c:pt idx="0">
                  <c:v>0.29411764705882354</c:v>
                </c:pt>
                <c:pt idx="1">
                  <c:v>0.98039215686274506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982656"/>
        <c:axId val="88984192"/>
        <c:axId val="0"/>
      </c:bar3DChart>
      <c:catAx>
        <c:axId val="889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84192"/>
        <c:crosses val="autoZero"/>
        <c:auto val="1"/>
        <c:lblAlgn val="ctr"/>
        <c:lblOffset val="100"/>
        <c:noMultiLvlLbl val="0"/>
      </c:catAx>
      <c:valAx>
        <c:axId val="889841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898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0329081671808"/>
          <c:y val="2.6827261841951076E-2"/>
          <c:w val="0.86580671568100775"/>
          <c:h val="0.8662747157771137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32367149758454E-2"/>
                  <c:y val="-1.455206703804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17820719269995E-2"/>
                  <c:y val="-1.0914050278537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323671497584464E-2"/>
                  <c:y val="-2.182810055707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882984433709071E-3"/>
                  <c:y val="-2.910413407609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'Ф1-Г1'!$F$20:$F$23</c:f>
              <c:strCache>
                <c:ptCount val="4"/>
                <c:pt idx="0">
                  <c:v>ГРУППА РИСКА</c:v>
                </c:pt>
                <c:pt idx="1">
                  <c:v>ДОСТИГ БАЗОВОГО УРОВНЯ</c:v>
                </c:pt>
                <c:pt idx="2">
                  <c:v>ДОСТИГ БАЗОВОГО, НЕ ДОСТИГ ПОВЫШЕННОГО</c:v>
                </c:pt>
                <c:pt idx="3">
                  <c:v>ДОСТИГ ПОВЫШЕННОГО </c:v>
                </c:pt>
              </c:strCache>
            </c:strRef>
          </c:cat>
          <c:val>
            <c:numRef>
              <c:f>'Ф1-Г1'!$G$20:$G$23</c:f>
              <c:numCache>
                <c:formatCode>0.0%</c:formatCode>
                <c:ptCount val="4"/>
                <c:pt idx="0">
                  <c:v>0.66666666666666663</c:v>
                </c:pt>
                <c:pt idx="1">
                  <c:v>0.44444444444444442</c:v>
                </c:pt>
                <c:pt idx="2">
                  <c:v>5.5555555555555552E-2</c:v>
                </c:pt>
                <c:pt idx="3">
                  <c:v>0.3888888888888889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28512"/>
        <c:axId val="91330048"/>
        <c:axId val="0"/>
      </c:bar3DChart>
      <c:catAx>
        <c:axId val="9132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330048"/>
        <c:crosses val="autoZero"/>
        <c:auto val="1"/>
        <c:lblAlgn val="ctr"/>
        <c:lblOffset val="100"/>
        <c:noMultiLvlLbl val="0"/>
      </c:catAx>
      <c:valAx>
        <c:axId val="9133004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9132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Обязательной части (чел.)</a:t>
            </a:r>
          </a:p>
        </c:rich>
      </c:tx>
      <c:layout>
        <c:manualLayout>
          <c:xMode val="edge"/>
          <c:yMode val="edge"/>
          <c:x val="0.14907521625682588"/>
          <c:y val="2.5875710848643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4333073230714E-2"/>
          <c:y val="0.11548738048766473"/>
          <c:w val="0.90772164290274526"/>
          <c:h val="0.63686680086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'Ф4-Г1'!$A$6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('Ф4-Г1'!$B$6,'Ф4-Г1'!$D$6,'Ф4-Г1'!$F$6,'Ф4-Г1'!$H$6,'Ф4-Г1'!$J$6,'Ф4-Г1'!$L$6)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14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'Ф4-Г1'!$A$7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('Ф4-Г1'!$B$7,'Ф4-Г1'!$D$7,'Ф4-Г1'!$F$7,'Ф4-Г1'!$H$7,'Ф4-Г1'!$J$7,'Ф4-Г1'!$L$7)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'Ф4-Г1'!$A$8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('Ф4-Г1'!$B$8,'Ф4-Г1'!$D$8,'Ф4-Г1'!$F$8,'Ф4-Г1'!$H$8,'Ф4-Г1'!$J$8,'Ф4-Г1'!$L$8)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68480"/>
        <c:axId val="91670016"/>
      </c:barChart>
      <c:catAx>
        <c:axId val="916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670016"/>
        <c:crosses val="autoZero"/>
        <c:auto val="1"/>
        <c:lblAlgn val="ctr"/>
        <c:lblOffset val="100"/>
        <c:noMultiLvlLbl val="0"/>
      </c:catAx>
      <c:valAx>
        <c:axId val="9167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66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135687468056247E-2"/>
          <c:y val="0.81466015966754157"/>
          <c:w val="0.93053342709906495"/>
          <c:h val="0.162050798337707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Обязательной части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62220793829347E-2"/>
          <c:y val="9.6079329111037892E-2"/>
          <c:w val="0.88440580641705502"/>
          <c:h val="0.64851163168836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'Ф4-Г1'!$A$6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('Ф4-Г1'!$C$6,'Ф4-Г1'!$E$6,'Ф4-Г1'!$G$6,'Ф4-Г1'!$I$6,'Ф4-Г1'!$K$6,'Ф4-Г1'!$M$6)</c:f>
              <c:numCache>
                <c:formatCode>0.0</c:formatCode>
                <c:ptCount val="5"/>
                <c:pt idx="0">
                  <c:v>83.333333333333343</c:v>
                </c:pt>
                <c:pt idx="1">
                  <c:v>66.666666666666657</c:v>
                </c:pt>
                <c:pt idx="2">
                  <c:v>77.777777777777786</c:v>
                </c:pt>
                <c:pt idx="3">
                  <c:v>38.888888888888893</c:v>
                </c:pt>
                <c:pt idx="4">
                  <c:v>72.222222222222214</c:v>
                </c:pt>
              </c:numCache>
            </c:numRef>
          </c:val>
        </c:ser>
        <c:ser>
          <c:idx val="1"/>
          <c:order val="1"/>
          <c:tx>
            <c:strRef>
              <c:f>'Ф4-Г1'!$A$7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('Ф4-Г1'!$C$7,'Ф4-Г1'!$E$7,'Ф4-Г1'!$G$7,'Ф4-Г1'!$I$7,'Ф4-Г1'!$K$7,'Ф4-Г1'!$M$7)</c:f>
              <c:numCache>
                <c:formatCode>0.0</c:formatCode>
                <c:ptCount val="5"/>
                <c:pt idx="0">
                  <c:v>16.666666666666664</c:v>
                </c:pt>
                <c:pt idx="1">
                  <c:v>27.777777777777779</c:v>
                </c:pt>
                <c:pt idx="2">
                  <c:v>16.666666666666664</c:v>
                </c:pt>
                <c:pt idx="3">
                  <c:v>50</c:v>
                </c:pt>
                <c:pt idx="4">
                  <c:v>22.222222222222221</c:v>
                </c:pt>
              </c:numCache>
            </c:numRef>
          </c:val>
        </c:ser>
        <c:ser>
          <c:idx val="2"/>
          <c:order val="2"/>
          <c:tx>
            <c:strRef>
              <c:f>'Ф4-Г1'!$A$8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('Ф4-Г1'!$C$8,'Ф4-Г1'!$E$8,'Ф4-Г1'!$G$8,'Ф4-Г1'!$I$8,'Ф4-Г1'!$K$8,'Ф4-Г1'!$M$8)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2784"/>
        <c:axId val="91704320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marker>
            <c:symbol val="none"/>
          </c:marker>
          <c:val>
            <c:numRef>
              <c:f>'Ф2-Г1'!$H$61:$M$61</c:f>
              <c:numCache>
                <c:formatCode>0</c:formatCode>
                <c:ptCount val="6"/>
                <c:pt idx="0">
                  <c:v>67.777777777777786</c:v>
                </c:pt>
                <c:pt idx="1">
                  <c:v>67.777777777777786</c:v>
                </c:pt>
                <c:pt idx="2">
                  <c:v>67.777777777777786</c:v>
                </c:pt>
                <c:pt idx="3">
                  <c:v>67.777777777777786</c:v>
                </c:pt>
                <c:pt idx="4">
                  <c:v>67.777777777777786</c:v>
                </c:pt>
                <c:pt idx="5">
                  <c:v>67.777777777777786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2784"/>
        <c:axId val="91704320"/>
      </c:lineChart>
      <c:catAx>
        <c:axId val="917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1704320"/>
        <c:crosses val="autoZero"/>
        <c:auto val="1"/>
        <c:lblAlgn val="ctr"/>
        <c:lblOffset val="100"/>
        <c:noMultiLvlLbl val="0"/>
      </c:catAx>
      <c:valAx>
        <c:axId val="917043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170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742140565762618E-2"/>
          <c:y val="0.81854149446788771"/>
          <c:w val="0.87563627879848349"/>
          <c:h val="0.1814585055321122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Дополнительной части (чел.)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'Ф4-Г1'!$A$6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('Ф4-Г1'!$U$6,'Ф4-Г1'!$W$6,'Ф4-Г1'!$Y$6,'Ф4-Г1'!$AA$6,'Ф4-Г1'!$AC$6)</c:f>
              <c:numCache>
                <c:formatCode>General</c:formatCode>
                <c:ptCount val="5"/>
                <c:pt idx="0">
                  <c:v>1</c:v>
                </c:pt>
                <c:pt idx="1">
                  <c:v>18</c:v>
                </c:pt>
                <c:pt idx="2">
                  <c:v>15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'Ф4-Г1'!$A$7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('Ф4-Г1'!$U$7,'Ф4-Г1'!$W$7,'Ф4-Г1'!$Y$7,'Ф4-Г1'!$AA$7,'Ф4-Г1'!$AC$7)</c:f>
              <c:numCache>
                <c:formatCode>General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'Ф4-Г1'!$A$8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('Ф4-Г1'!$U$8,'Ф4-Г1'!$W$8,'Ф4-Г1'!$Y$8,'Ф4-Г1'!$AA$8,'Ф4-Г1'!$AC$8)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40032"/>
        <c:axId val="91741568"/>
      </c:barChart>
      <c:catAx>
        <c:axId val="917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741568"/>
        <c:crosses val="autoZero"/>
        <c:auto val="1"/>
        <c:lblAlgn val="ctr"/>
        <c:lblOffset val="100"/>
        <c:noMultiLvlLbl val="0"/>
      </c:catAx>
      <c:valAx>
        <c:axId val="9174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740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Дополнительной части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'Ф4-Г1'!$A$6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('Ф4-Г1'!$V$6,'Ф4-Г1'!$X$6,'Ф4-Г1'!$Z$6,'Ф4-Г1'!$AB$6,'Ф4-Г1'!$AD$6)</c:f>
              <c:numCache>
                <c:formatCode>0.0</c:formatCode>
                <c:ptCount val="5"/>
                <c:pt idx="0">
                  <c:v>5.5555555555555554</c:v>
                </c:pt>
                <c:pt idx="1">
                  <c:v>100</c:v>
                </c:pt>
                <c:pt idx="2">
                  <c:v>83.333333333333343</c:v>
                </c:pt>
                <c:pt idx="3">
                  <c:v>66.666666666666657</c:v>
                </c:pt>
                <c:pt idx="4">
                  <c:v>72.222222222222214</c:v>
                </c:pt>
              </c:numCache>
            </c:numRef>
          </c:val>
        </c:ser>
        <c:ser>
          <c:idx val="1"/>
          <c:order val="1"/>
          <c:tx>
            <c:strRef>
              <c:f>'Ф4-Г1'!$A$7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('Ф4-Г1'!$V$7,'Ф4-Г1'!$X$7,'Ф4-Г1'!$Z$7,'Ф4-Г1'!$AB$7,'Ф4-Г1'!$AD$7)</c:f>
              <c:numCache>
                <c:formatCode>0.0</c:formatCode>
                <c:ptCount val="5"/>
                <c:pt idx="0">
                  <c:v>77.777777777777786</c:v>
                </c:pt>
                <c:pt idx="1">
                  <c:v>0</c:v>
                </c:pt>
                <c:pt idx="2">
                  <c:v>5.5555555555555554</c:v>
                </c:pt>
                <c:pt idx="3">
                  <c:v>27.777777777777779</c:v>
                </c:pt>
                <c:pt idx="4">
                  <c:v>5.5555555555555554</c:v>
                </c:pt>
              </c:numCache>
            </c:numRef>
          </c:val>
        </c:ser>
        <c:ser>
          <c:idx val="2"/>
          <c:order val="2"/>
          <c:tx>
            <c:strRef>
              <c:f>'Ф4-Г1'!$A$8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('Ф4-Г1'!$V$8,'Ф4-Г1'!$X$8,'Ф4-Г1'!$Z$8,'Ф4-Г1'!$AB$8,'Ф4-Г1'!$AD$8)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91424"/>
        <c:axId val="91997312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marker>
            <c:symbol val="none"/>
          </c:marker>
          <c:val>
            <c:numRef>
              <c:f>'Ф2-Г1'!$O$61:$S$61</c:f>
              <c:numCache>
                <c:formatCode>0</c:formatCode>
                <c:ptCount val="5"/>
                <c:pt idx="0">
                  <c:v>61.111111111111114</c:v>
                </c:pt>
                <c:pt idx="1">
                  <c:v>61.111111111111114</c:v>
                </c:pt>
                <c:pt idx="2">
                  <c:v>61.111111111111114</c:v>
                </c:pt>
                <c:pt idx="3">
                  <c:v>61.111111111111114</c:v>
                </c:pt>
                <c:pt idx="4">
                  <c:v>61.111111111111114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1424"/>
        <c:axId val="91997312"/>
      </c:lineChart>
      <c:catAx>
        <c:axId val="919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1997312"/>
        <c:crosses val="autoZero"/>
        <c:auto val="1"/>
        <c:lblAlgn val="ctr"/>
        <c:lblOffset val="100"/>
        <c:noMultiLvlLbl val="0"/>
      </c:catAx>
      <c:valAx>
        <c:axId val="919973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1991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Обязетельной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'Ф4-Г1'!$A$9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('Ф4-Г1'!$B$9,'Ф4-Г1'!$D$9,'Ф4-Г1'!$F$9,'Ф4-Г1'!$H$9,'Ф4-Г1'!$J$9,'Ф4-Г1'!$L$9)</c:f>
              <c:numCache>
                <c:formatCode>0.0</c:formatCode>
                <c:ptCount val="5"/>
                <c:pt idx="0">
                  <c:v>0.83333333333333337</c:v>
                </c:pt>
                <c:pt idx="1">
                  <c:v>0.66666666666666663</c:v>
                </c:pt>
                <c:pt idx="2">
                  <c:v>0.77777777777777779</c:v>
                </c:pt>
                <c:pt idx="3">
                  <c:v>0.3888888888888889</c:v>
                </c:pt>
                <c:pt idx="4">
                  <c:v>0.72222222222222221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2272"/>
        <c:axId val="97143808"/>
      </c:barChart>
      <c:catAx>
        <c:axId val="971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143808"/>
        <c:crosses val="autoZero"/>
        <c:auto val="1"/>
        <c:lblAlgn val="ctr"/>
        <c:lblOffset val="100"/>
        <c:noMultiLvlLbl val="0"/>
      </c:catAx>
      <c:valAx>
        <c:axId val="971438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1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Дополнительной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'Ф4-Г1'!$A$9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'Ф4-Г1'!$T$10:$X$10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('Ф4-Г1'!$U$9,'Ф4-Г1'!$W$9,'Ф4-Г1'!$Y$9,'Ф4-Г1'!$AA$9,'Ф4-Г1'!$AC$9)</c:f>
              <c:numCache>
                <c:formatCode>0.0</c:formatCode>
                <c:ptCount val="5"/>
                <c:pt idx="0">
                  <c:v>5.5555555555555552E-2</c:v>
                </c:pt>
                <c:pt idx="1">
                  <c:v>5.5555555555555552E-2</c:v>
                </c:pt>
                <c:pt idx="2">
                  <c:v>0.83333333333333337</c:v>
                </c:pt>
                <c:pt idx="3">
                  <c:v>0.66666666666666663</c:v>
                </c:pt>
                <c:pt idx="4">
                  <c:v>0.72222222222222221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88864"/>
        <c:axId val="96871168"/>
      </c:barChart>
      <c:catAx>
        <c:axId val="971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871168"/>
        <c:crosses val="autoZero"/>
        <c:auto val="1"/>
        <c:lblAlgn val="ctr"/>
        <c:lblOffset val="100"/>
        <c:noMultiLvlLbl val="0"/>
      </c:catAx>
      <c:valAx>
        <c:axId val="968711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1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Баллы, набранные участником тестирования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206386617457225E-2"/>
          <c:y val="8.962206401516104E-2"/>
          <c:w val="0.92567747607102524"/>
          <c:h val="0.69070899683865405"/>
        </c:manualLayout>
      </c:layout>
      <c:barChart>
        <c:barDir val="col"/>
        <c:grouping val="clustered"/>
        <c:varyColors val="0"/>
        <c:ser>
          <c:idx val="0"/>
          <c:order val="0"/>
          <c:tx>
            <c:v>Баллы, набранные учащимся</c:v>
          </c:tx>
          <c:invertIfNegative val="0"/>
          <c:cat>
            <c:strRef>
              <c:f>'Ф2-Г2'!$E$12:$E$46</c:f>
              <c:strCache>
                <c:ptCount val="21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'Ф2-Г2'!$N$12:$N$46</c:f>
              <c:numCache>
                <c:formatCode>General</c:formatCode>
                <c:ptCount val="35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25568"/>
        <c:axId val="96935936"/>
      </c:barChart>
      <c:lineChart>
        <c:grouping val="standard"/>
        <c:varyColors val="0"/>
        <c:ser>
          <c:idx val="1"/>
          <c:order val="1"/>
          <c:tx>
            <c:v>Средний тестовый балл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'Ф2-Г2'!$E$12:$E$46</c:f>
              <c:strCache>
                <c:ptCount val="21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'Ф2-Г2'!$X$12:$X$46</c:f>
              <c:numCache>
                <c:formatCode>0.00</c:formatCode>
                <c:ptCount val="35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25568"/>
        <c:axId val="96935936"/>
      </c:lineChart>
      <c:catAx>
        <c:axId val="9692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Учащиеся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935936"/>
        <c:crosses val="autoZero"/>
        <c:auto val="1"/>
        <c:lblAlgn val="ctr"/>
        <c:lblOffset val="100"/>
        <c:noMultiLvlLbl val="0"/>
      </c:catAx>
      <c:valAx>
        <c:axId val="9693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Набранные баллы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925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Результативность участника тестирования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62227764214988E-2"/>
          <c:y val="8.8143594960895078E-2"/>
          <c:w val="0.91179829148655389"/>
          <c:h val="0.72412012277111182"/>
        </c:manualLayout>
      </c:layout>
      <c:barChart>
        <c:barDir val="col"/>
        <c:grouping val="clustered"/>
        <c:varyColors val="0"/>
        <c:ser>
          <c:idx val="0"/>
          <c:order val="0"/>
          <c:tx>
            <c:v>Результативность учащегося</c:v>
          </c:tx>
          <c:invertIfNegative val="0"/>
          <c:cat>
            <c:strRef>
              <c:f>'Ф2-Г2'!$E$12:$E$46</c:f>
              <c:strCache>
                <c:ptCount val="21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'Ф2-Г2'!$Y$12:$Y$46</c:f>
              <c:numCache>
                <c:formatCode>0%</c:formatCode>
                <c:ptCount val="35"/>
                <c:pt idx="0">
                  <c:v>1</c:v>
                </c:pt>
                <c:pt idx="1">
                  <c:v>0.2</c:v>
                </c:pt>
                <c:pt idx="2">
                  <c:v>0.6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0.6</c:v>
                </c:pt>
                <c:pt idx="7">
                  <c:v>0</c:v>
                </c:pt>
                <c:pt idx="8">
                  <c:v>0.6</c:v>
                </c:pt>
                <c:pt idx="9">
                  <c:v>0.2</c:v>
                </c:pt>
                <c:pt idx="10">
                  <c:v>0.4</c:v>
                </c:pt>
                <c:pt idx="11">
                  <c:v>0.6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0</c:v>
                </c:pt>
                <c:pt idx="17">
                  <c:v>0.6</c:v>
                </c:pt>
                <c:pt idx="18">
                  <c:v>0.4</c:v>
                </c:pt>
                <c:pt idx="19">
                  <c:v>1</c:v>
                </c:pt>
                <c:pt idx="20">
                  <c:v>0.4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78432"/>
        <c:axId val="96980352"/>
      </c:barChart>
      <c:lineChart>
        <c:grouping val="standard"/>
        <c:varyColors val="0"/>
        <c:ser>
          <c:idx val="1"/>
          <c:order val="1"/>
          <c:tx>
            <c:v>Результативность всей работы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Pt>
            <c:idx val="18"/>
            <c:bubble3D val="0"/>
          </c:dPt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'Ф2-Г2'!$Z$12:$Z$46</c:f>
              <c:numCache>
                <c:formatCode>0%</c:formatCode>
                <c:ptCount val="35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0.45</c:v>
                </c:pt>
                <c:pt idx="14">
                  <c:v>0.45</c:v>
                </c:pt>
                <c:pt idx="15">
                  <c:v>0.45</c:v>
                </c:pt>
                <c:pt idx="16">
                  <c:v>0.45</c:v>
                </c:pt>
                <c:pt idx="17">
                  <c:v>0.45</c:v>
                </c:pt>
                <c:pt idx="18">
                  <c:v>0.45</c:v>
                </c:pt>
                <c:pt idx="19">
                  <c:v>0.45</c:v>
                </c:pt>
                <c:pt idx="20">
                  <c:v>0.45</c:v>
                </c:pt>
                <c:pt idx="21">
                  <c:v>0.45</c:v>
                </c:pt>
                <c:pt idx="22">
                  <c:v>0.45</c:v>
                </c:pt>
                <c:pt idx="23">
                  <c:v>0.45</c:v>
                </c:pt>
                <c:pt idx="24">
                  <c:v>0.45</c:v>
                </c:pt>
                <c:pt idx="25">
                  <c:v>0.45</c:v>
                </c:pt>
                <c:pt idx="26">
                  <c:v>0.45</c:v>
                </c:pt>
                <c:pt idx="27">
                  <c:v>0.45</c:v>
                </c:pt>
                <c:pt idx="28">
                  <c:v>0.45</c:v>
                </c:pt>
                <c:pt idx="29">
                  <c:v>0.45</c:v>
                </c:pt>
                <c:pt idx="30">
                  <c:v>0.45</c:v>
                </c:pt>
                <c:pt idx="31">
                  <c:v>0.45</c:v>
                </c:pt>
                <c:pt idx="32">
                  <c:v>0.45</c:v>
                </c:pt>
                <c:pt idx="33">
                  <c:v>0.45</c:v>
                </c:pt>
                <c:pt idx="34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8432"/>
        <c:axId val="96980352"/>
      </c:lineChart>
      <c:catAx>
        <c:axId val="969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Учащиеся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980352"/>
        <c:crosses val="autoZero"/>
        <c:auto val="1"/>
        <c:lblAlgn val="ctr"/>
        <c:lblOffset val="100"/>
        <c:noMultiLvlLbl val="0"/>
      </c:catAx>
      <c:valAx>
        <c:axId val="969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Результативность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978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Обязательной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'Ф1-Г2'!$B$11:$B$12</c:f>
              <c:strCache>
                <c:ptCount val="2"/>
                <c:pt idx="0">
                  <c:v>НЕ СПРАВИЛИСЬ С РАБОТОЙ</c:v>
                </c:pt>
                <c:pt idx="1">
                  <c:v>СПРАВИЛИСЬ С РАБОТОЙ НА БАЗОВОМ УРОВНЕ </c:v>
                </c:pt>
              </c:strCache>
            </c:strRef>
          </c:cat>
          <c:val>
            <c:numRef>
              <c:f>'Ф1-Г2'!$D$11:$D$12</c:f>
              <c:numCache>
                <c:formatCode>0.0%</c:formatCode>
                <c:ptCount val="2"/>
                <c:pt idx="0">
                  <c:v>1.1875</c:v>
                </c:pt>
                <c:pt idx="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14144"/>
        <c:axId val="97015680"/>
      </c:barChart>
      <c:catAx>
        <c:axId val="970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015680"/>
        <c:crosses val="autoZero"/>
        <c:auto val="1"/>
        <c:lblAlgn val="ctr"/>
        <c:lblOffset val="100"/>
        <c:noMultiLvlLbl val="0"/>
      </c:catAx>
      <c:valAx>
        <c:axId val="97015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9701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0329081671808"/>
          <c:y val="2.6827261841951076E-2"/>
          <c:w val="0.86580671568100775"/>
          <c:h val="0.8662747157771137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32367149758454E-2"/>
                  <c:y val="-1.455206703804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17820719269995E-2"/>
                  <c:y val="-1.0914050278537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323671497584464E-2"/>
                  <c:y val="-2.182810055707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882984433709071E-3"/>
                  <c:y val="-2.910413407609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'Ф1-ОУ'!$F$20:$F$23</c:f>
              <c:strCache>
                <c:ptCount val="4"/>
                <c:pt idx="0">
                  <c:v>ГРУППА РИСКА</c:v>
                </c:pt>
                <c:pt idx="1">
                  <c:v>ДОСТИГ БАЗОВОГО УРОВНЯ</c:v>
                </c:pt>
                <c:pt idx="2">
                  <c:v>ДОСТИГ БАЗОВОГО, НЕ ДОСТИГ ПОВЫШЕННОГО</c:v>
                </c:pt>
                <c:pt idx="3">
                  <c:v>ДОСТИГ ПОВЫШЕННОГО </c:v>
                </c:pt>
              </c:strCache>
            </c:strRef>
          </c:cat>
          <c:val>
            <c:numRef>
              <c:f>'Ф1-ОУ'!$G$20:$G$23</c:f>
              <c:numCache>
                <c:formatCode>0.0%</c:formatCode>
                <c:ptCount val="4"/>
                <c:pt idx="0">
                  <c:v>0.94117647058823528</c:v>
                </c:pt>
                <c:pt idx="1">
                  <c:v>0.23529411764705882</c:v>
                </c:pt>
                <c:pt idx="2">
                  <c:v>3.9215686274509803E-2</c:v>
                </c:pt>
                <c:pt idx="3">
                  <c:v>0.29411764705882354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094784"/>
        <c:axId val="90505600"/>
        <c:axId val="0"/>
      </c:bar3DChart>
      <c:catAx>
        <c:axId val="8909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505600"/>
        <c:crosses val="autoZero"/>
        <c:auto val="1"/>
        <c:lblAlgn val="ctr"/>
        <c:lblOffset val="100"/>
        <c:noMultiLvlLbl val="0"/>
      </c:catAx>
      <c:valAx>
        <c:axId val="9050560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890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6153836835486253E-2"/>
                  <c:y val="-3.324099722991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461530696238505E-2"/>
                  <c:y val="-5.909510618651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'Ф1-Г2'!$B$13:$B$14</c:f>
              <c:strCache>
                <c:ptCount val="2"/>
                <c:pt idx="0">
                  <c:v>ДОСТИГЛИ ПОВЫШЕННОГО УРОВНЯ</c:v>
                </c:pt>
                <c:pt idx="1">
                  <c:v>НЕ ДОСТИГЛИ ПОВЫШЕННОГО УРОВНЯ</c:v>
                </c:pt>
              </c:strCache>
            </c:strRef>
          </c:cat>
          <c:val>
            <c:numRef>
              <c:f>'Ф1-Г2'!$D$13:$D$14</c:f>
              <c:numCache>
                <c:formatCode>0.0%</c:formatCode>
                <c:ptCount val="2"/>
                <c:pt idx="0">
                  <c:v>0.125</c:v>
                </c:pt>
                <c:pt idx="1">
                  <c:v>1.1875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065216"/>
        <c:axId val="97071104"/>
        <c:axId val="0"/>
      </c:bar3DChart>
      <c:catAx>
        <c:axId val="970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71104"/>
        <c:crosses val="autoZero"/>
        <c:auto val="1"/>
        <c:lblAlgn val="ctr"/>
        <c:lblOffset val="100"/>
        <c:noMultiLvlLbl val="0"/>
      </c:catAx>
      <c:valAx>
        <c:axId val="97071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06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0329081671808"/>
          <c:y val="2.6827261841951076E-2"/>
          <c:w val="0.86580671568100775"/>
          <c:h val="0.8662747157771137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32367149758454E-2"/>
                  <c:y val="-1.455206703804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17820719269995E-2"/>
                  <c:y val="-1.0914050278537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323671497584464E-2"/>
                  <c:y val="-2.182810055707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882984433709071E-3"/>
                  <c:y val="-2.910413407609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'Ф1-Г2'!$F$20:$F$23</c:f>
              <c:strCache>
                <c:ptCount val="4"/>
                <c:pt idx="0">
                  <c:v>ГРУППА РИСКА</c:v>
                </c:pt>
                <c:pt idx="1">
                  <c:v>ДОСТИГ БАЗОВОГО УРОВНЯ</c:v>
                </c:pt>
                <c:pt idx="2">
                  <c:v>ДОСТИГ БАЗОВОГО, НЕ ДОСТИГ ПОВЫШЕННОГО</c:v>
                </c:pt>
                <c:pt idx="3">
                  <c:v>ДОСТИГ ПОВЫШЕННОГО </c:v>
                </c:pt>
              </c:strCache>
            </c:strRef>
          </c:cat>
          <c:val>
            <c:numRef>
              <c:f>'Ф1-Г2'!$G$20:$G$23</c:f>
              <c:numCache>
                <c:formatCode>0.0%</c:formatCode>
                <c:ptCount val="4"/>
                <c:pt idx="0">
                  <c:v>1.1875</c:v>
                </c:pt>
                <c:pt idx="1">
                  <c:v>0.125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091584"/>
        <c:axId val="97093120"/>
        <c:axId val="0"/>
      </c:bar3DChart>
      <c:catAx>
        <c:axId val="9709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093120"/>
        <c:crosses val="autoZero"/>
        <c:auto val="1"/>
        <c:lblAlgn val="ctr"/>
        <c:lblOffset val="100"/>
        <c:noMultiLvlLbl val="0"/>
      </c:catAx>
      <c:valAx>
        <c:axId val="9709312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9709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Обязательной части (чел.)</a:t>
            </a:r>
          </a:p>
        </c:rich>
      </c:tx>
      <c:layout>
        <c:manualLayout>
          <c:xMode val="edge"/>
          <c:yMode val="edge"/>
          <c:x val="0.14907532771587281"/>
          <c:y val="2.5875710848643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4333073230714E-2"/>
          <c:y val="0.11548738048766473"/>
          <c:w val="0.90772164290274526"/>
          <c:h val="0.63686680086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'Ф4-Г2'!$A$6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('Ф4-Г2'!$B$6,'Ф4-Г2'!$D$6,'Ф4-Г2'!$F$6,'Ф4-Г2'!$H$6,'Ф4-Г2'!$J$6,'Ф4-Г2'!$L$6)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'Ф4-Г2'!$A$7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('Ф4-Г2'!$B$7,'Ф4-Г2'!$D$7,'Ф4-Г2'!$F$7,'Ф4-Г2'!$H$7,'Ф4-Г2'!$J$7,'Ф4-Г2'!$L$7)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'Ф4-Г2'!$A$8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('Ф4-Г2'!$B$8,'Ф4-Г2'!$D$8,'Ф4-Г2'!$F$8,'Ф4-Г2'!$H$8,'Ф4-Г2'!$J$8,'Ф4-Г2'!$L$8)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54432"/>
        <c:axId val="97555968"/>
      </c:barChart>
      <c:catAx>
        <c:axId val="975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555968"/>
        <c:crosses val="autoZero"/>
        <c:auto val="1"/>
        <c:lblAlgn val="ctr"/>
        <c:lblOffset val="100"/>
        <c:noMultiLvlLbl val="0"/>
      </c:catAx>
      <c:valAx>
        <c:axId val="9755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5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135757749776371E-2"/>
          <c:y val="0.81466015966754157"/>
          <c:w val="0.93053343787846998"/>
          <c:h val="0.162050798337707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Обязательной части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62220793829347E-2"/>
          <c:y val="9.6079329111037892E-2"/>
          <c:w val="0.88440580641705502"/>
          <c:h val="0.64851163168836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'Ф4-Г2'!$A$6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('Ф4-Г2'!$C$6,'Ф4-Г2'!$E$6,'Ф4-Г2'!$G$6,'Ф4-Г2'!$I$6,'Ф4-Г2'!$K$6,'Ф4-Г2'!$M$6)</c:f>
              <c:numCache>
                <c:formatCode>0.0</c:formatCode>
                <c:ptCount val="5"/>
                <c:pt idx="0">
                  <c:v>43.75</c:v>
                </c:pt>
                <c:pt idx="1">
                  <c:v>56.25</c:v>
                </c:pt>
                <c:pt idx="2">
                  <c:v>62.5</c:v>
                </c:pt>
                <c:pt idx="3">
                  <c:v>18.75</c:v>
                </c:pt>
                <c:pt idx="4">
                  <c:v>43.75</c:v>
                </c:pt>
              </c:numCache>
            </c:numRef>
          </c:val>
        </c:ser>
        <c:ser>
          <c:idx val="1"/>
          <c:order val="1"/>
          <c:tx>
            <c:strRef>
              <c:f>'Ф4-Г2'!$A$7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('Ф4-Г2'!$C$7,'Ф4-Г2'!$E$7,'Ф4-Г2'!$G$7,'Ф4-Г2'!$I$7,'Ф4-Г2'!$K$7,'Ф4-Г2'!$M$7)</c:f>
              <c:numCache>
                <c:formatCode>0.0</c:formatCode>
                <c:ptCount val="5"/>
                <c:pt idx="0">
                  <c:v>56.25</c:v>
                </c:pt>
                <c:pt idx="1">
                  <c:v>56.25</c:v>
                </c:pt>
                <c:pt idx="2">
                  <c:v>43.75</c:v>
                </c:pt>
                <c:pt idx="3">
                  <c:v>87.5</c:v>
                </c:pt>
                <c:pt idx="4">
                  <c:v>62.5</c:v>
                </c:pt>
              </c:numCache>
            </c:numRef>
          </c:val>
        </c:ser>
        <c:ser>
          <c:idx val="2"/>
          <c:order val="2"/>
          <c:tx>
            <c:strRef>
              <c:f>'Ф4-Г2'!$A$8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('Ф4-Г2'!$C$8,'Ф4-Г2'!$E$8,'Ф4-Г2'!$G$8,'Ф4-Г2'!$I$8,'Ф4-Г2'!$K$8,'Ф4-Г2'!$M$8)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1360"/>
        <c:axId val="97872896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1360"/>
        <c:axId val="97872896"/>
      </c:lineChart>
      <c:catAx>
        <c:axId val="978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7872896"/>
        <c:crosses val="autoZero"/>
        <c:auto val="1"/>
        <c:lblAlgn val="ctr"/>
        <c:lblOffset val="100"/>
        <c:noMultiLvlLbl val="0"/>
      </c:catAx>
      <c:valAx>
        <c:axId val="978728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787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742130637925579E-2"/>
          <c:y val="0.81854149446788771"/>
          <c:w val="0.87563626887064649"/>
          <c:h val="0.1814585055321122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Дополнительной части (чел.)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'Ф4-Г2'!$A$6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('Ф4-Г2'!$U$6,'Ф4-Г2'!$W$6,'Ф4-Г2'!$Y$6,'Ф4-Г2'!$AA$6,'Ф4-Г2'!$AC$6)</c:f>
              <c:numCache>
                <c:formatCode>General</c:formatCode>
                <c:ptCount val="5"/>
                <c:pt idx="0">
                  <c:v>2</c:v>
                </c:pt>
                <c:pt idx="1">
                  <c:v>17</c:v>
                </c:pt>
                <c:pt idx="2">
                  <c:v>9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'Ф4-Г2'!$A$7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('Ф4-Г2'!$U$7,'Ф4-Г2'!$W$7,'Ф4-Г2'!$Y$7,'Ф4-Г2'!$AA$7,'Ф4-Г2'!$AC$7)</c:f>
              <c:numCache>
                <c:formatCode>General</c:formatCode>
                <c:ptCount val="5"/>
                <c:pt idx="0">
                  <c:v>13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tx>
            <c:strRef>
              <c:f>'Ф4-Г2'!$A$8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('Ф4-Г2'!$U$8,'Ф4-Г2'!$W$8,'Ф4-Г2'!$Y$8,'Ф4-Г2'!$AA$8,'Ф4-Г2'!$AC$8)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9120"/>
        <c:axId val="97590656"/>
      </c:barChart>
      <c:catAx>
        <c:axId val="975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590656"/>
        <c:crosses val="autoZero"/>
        <c:auto val="1"/>
        <c:lblAlgn val="ctr"/>
        <c:lblOffset val="100"/>
        <c:noMultiLvlLbl val="0"/>
      </c:catAx>
      <c:valAx>
        <c:axId val="9759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589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Дополнительной части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'Ф4-Г2'!$A$6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('Ф4-Г2'!$V$6,'Ф4-Г2'!$X$6,'Ф4-Г2'!$Z$6,'Ф4-Г2'!$AB$6,'Ф4-Г2'!$AD$6)</c:f>
              <c:numCache>
                <c:formatCode>0.0</c:formatCode>
                <c:ptCount val="5"/>
                <c:pt idx="0">
                  <c:v>12.5</c:v>
                </c:pt>
                <c:pt idx="1">
                  <c:v>106.25</c:v>
                </c:pt>
                <c:pt idx="2">
                  <c:v>56.25</c:v>
                </c:pt>
                <c:pt idx="3">
                  <c:v>87.5</c:v>
                </c:pt>
                <c:pt idx="4">
                  <c:v>62.5</c:v>
                </c:pt>
              </c:numCache>
            </c:numRef>
          </c:val>
        </c:ser>
        <c:ser>
          <c:idx val="1"/>
          <c:order val="1"/>
          <c:tx>
            <c:strRef>
              <c:f>'Ф4-Г2'!$A$7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('Ф4-Г2'!$V$7,'Ф4-Г2'!$X$7,'Ф4-Г2'!$Z$7,'Ф4-Г2'!$AB$7,'Ф4-Г2'!$AD$7)</c:f>
              <c:numCache>
                <c:formatCode>0.0</c:formatCode>
                <c:ptCount val="5"/>
                <c:pt idx="0">
                  <c:v>81.25</c:v>
                </c:pt>
                <c:pt idx="1">
                  <c:v>6.25</c:v>
                </c:pt>
                <c:pt idx="2">
                  <c:v>43.75</c:v>
                </c:pt>
                <c:pt idx="3">
                  <c:v>18.75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tx>
            <c:strRef>
              <c:f>'Ф4-Г2'!$A$8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('Ф4-Г2'!$V$8,'Ф4-Г2'!$X$8,'Ф4-Г2'!$Z$8,'Ф4-Г2'!$AB$8,'Ф4-Г2'!$AD$8)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39808"/>
        <c:axId val="97719424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9808"/>
        <c:axId val="97719424"/>
      </c:lineChart>
      <c:catAx>
        <c:axId val="976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7719424"/>
        <c:crosses val="autoZero"/>
        <c:auto val="1"/>
        <c:lblAlgn val="ctr"/>
        <c:lblOffset val="100"/>
        <c:noMultiLvlLbl val="0"/>
      </c:catAx>
      <c:valAx>
        <c:axId val="977194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7639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Обязетельной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'Ф4-Г2'!$A$9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('Ф4-Г2'!$B$9,'Ф4-Г2'!$D$9,'Ф4-Г2'!$F$9,'Ф4-Г2'!$H$9,'Ф4-Г2'!$J$9,'Ф4-Г2'!$L$9)</c:f>
              <c:numCache>
                <c:formatCode>0.0</c:formatCode>
                <c:ptCount val="5"/>
                <c:pt idx="0">
                  <c:v>0.4375</c:v>
                </c:pt>
                <c:pt idx="1">
                  <c:v>0.5625</c:v>
                </c:pt>
                <c:pt idx="2">
                  <c:v>0.625</c:v>
                </c:pt>
                <c:pt idx="3">
                  <c:v>0.1875</c:v>
                </c:pt>
                <c:pt idx="4">
                  <c:v>0.4375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4384"/>
        <c:axId val="97745920"/>
      </c:barChart>
      <c:catAx>
        <c:axId val="977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745920"/>
        <c:crosses val="autoZero"/>
        <c:auto val="1"/>
        <c:lblAlgn val="ctr"/>
        <c:lblOffset val="100"/>
        <c:noMultiLvlLbl val="0"/>
      </c:catAx>
      <c:valAx>
        <c:axId val="977459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74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Дополнительной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'Ф4-Г2'!$A$9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'Ф4-Г2'!$T$10:$X$10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('Ф4-Г2'!$U$9,'Ф4-Г2'!$W$9,'Ф4-Г2'!$Y$9,'Ф4-Г2'!$AA$9,'Ф4-Г2'!$AC$9)</c:f>
              <c:numCache>
                <c:formatCode>0.0</c:formatCode>
                <c:ptCount val="5"/>
                <c:pt idx="0">
                  <c:v>0.125</c:v>
                </c:pt>
                <c:pt idx="1">
                  <c:v>1.0625</c:v>
                </c:pt>
                <c:pt idx="2">
                  <c:v>0.5625</c:v>
                </c:pt>
                <c:pt idx="3">
                  <c:v>0.875</c:v>
                </c:pt>
                <c:pt idx="4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2784"/>
        <c:axId val="97792768"/>
      </c:barChart>
      <c:catAx>
        <c:axId val="977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792768"/>
        <c:crosses val="autoZero"/>
        <c:auto val="1"/>
        <c:lblAlgn val="ctr"/>
        <c:lblOffset val="100"/>
        <c:noMultiLvlLbl val="0"/>
      </c:catAx>
      <c:valAx>
        <c:axId val="97792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78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Баллы, набранные участником тестирования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206386617457225E-2"/>
          <c:y val="8.962206401516104E-2"/>
          <c:w val="0.92567747607102524"/>
          <c:h val="0.69070899683865405"/>
        </c:manualLayout>
      </c:layout>
      <c:barChart>
        <c:barDir val="col"/>
        <c:grouping val="clustered"/>
        <c:varyColors val="0"/>
        <c:ser>
          <c:idx val="0"/>
          <c:order val="0"/>
          <c:tx>
            <c:v>Баллы, набранные учащимся</c:v>
          </c:tx>
          <c:invertIfNegative val="0"/>
          <c:val>
            <c:numRef>
              <c:f>'Ф2-Г3'!$N$12:$N$46</c:f>
              <c:numCache>
                <c:formatCode>General</c:formatCode>
                <c:ptCount val="35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5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34880"/>
        <c:axId val="97837056"/>
      </c:barChart>
      <c:lineChart>
        <c:grouping val="standard"/>
        <c:varyColors val="0"/>
        <c:ser>
          <c:idx val="1"/>
          <c:order val="1"/>
          <c:tx>
            <c:v>Средний тестовый балл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'Ф2-Г3'!$E$12:$E$46</c:f>
              <c:strCache>
                <c:ptCount val="35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strCache>
            </c:strRef>
          </c:cat>
          <c:val>
            <c:numRef>
              <c:f>'Ф2-Г3'!$X$12:$X$46</c:f>
              <c:numCache>
                <c:formatCode>0.00</c:formatCode>
                <c:ptCount val="35"/>
                <c:pt idx="0">
                  <c:v>2.6470588235294117</c:v>
                </c:pt>
                <c:pt idx="1">
                  <c:v>2.6470588235294117</c:v>
                </c:pt>
                <c:pt idx="2">
                  <c:v>2.6470588235294117</c:v>
                </c:pt>
                <c:pt idx="3">
                  <c:v>2.6470588235294117</c:v>
                </c:pt>
                <c:pt idx="4">
                  <c:v>2.6470588235294117</c:v>
                </c:pt>
                <c:pt idx="5">
                  <c:v>2.6470588235294117</c:v>
                </c:pt>
                <c:pt idx="6">
                  <c:v>2.6470588235294117</c:v>
                </c:pt>
                <c:pt idx="7">
                  <c:v>2.6470588235294117</c:v>
                </c:pt>
                <c:pt idx="8">
                  <c:v>2.6470588235294117</c:v>
                </c:pt>
                <c:pt idx="9">
                  <c:v>2.6470588235294117</c:v>
                </c:pt>
                <c:pt idx="10">
                  <c:v>2.6470588235294117</c:v>
                </c:pt>
                <c:pt idx="11">
                  <c:v>2.6470588235294117</c:v>
                </c:pt>
                <c:pt idx="12">
                  <c:v>2.6470588235294117</c:v>
                </c:pt>
                <c:pt idx="13">
                  <c:v>2.6470588235294117</c:v>
                </c:pt>
                <c:pt idx="14">
                  <c:v>2.6470588235294117</c:v>
                </c:pt>
                <c:pt idx="15">
                  <c:v>2.6470588235294117</c:v>
                </c:pt>
                <c:pt idx="16">
                  <c:v>2.6470588235294117</c:v>
                </c:pt>
                <c:pt idx="17">
                  <c:v>2.6470588235294117</c:v>
                </c:pt>
                <c:pt idx="18">
                  <c:v>2.6470588235294117</c:v>
                </c:pt>
                <c:pt idx="19">
                  <c:v>2.6470588235294117</c:v>
                </c:pt>
                <c:pt idx="20">
                  <c:v>2.6470588235294117</c:v>
                </c:pt>
                <c:pt idx="21">
                  <c:v>2.6470588235294117</c:v>
                </c:pt>
                <c:pt idx="22">
                  <c:v>2.6470588235294117</c:v>
                </c:pt>
                <c:pt idx="23">
                  <c:v>2.6470588235294117</c:v>
                </c:pt>
                <c:pt idx="24">
                  <c:v>2.6470588235294117</c:v>
                </c:pt>
                <c:pt idx="25">
                  <c:v>2.6470588235294117</c:v>
                </c:pt>
                <c:pt idx="26">
                  <c:v>2.6470588235294117</c:v>
                </c:pt>
                <c:pt idx="27">
                  <c:v>2.6470588235294117</c:v>
                </c:pt>
                <c:pt idx="28">
                  <c:v>2.6470588235294117</c:v>
                </c:pt>
                <c:pt idx="29">
                  <c:v>2.6470588235294117</c:v>
                </c:pt>
                <c:pt idx="30">
                  <c:v>2.6470588235294117</c:v>
                </c:pt>
                <c:pt idx="31">
                  <c:v>2.6470588235294117</c:v>
                </c:pt>
                <c:pt idx="32">
                  <c:v>2.6470588235294117</c:v>
                </c:pt>
                <c:pt idx="33">
                  <c:v>2.6470588235294117</c:v>
                </c:pt>
                <c:pt idx="34">
                  <c:v>2.6470588235294117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4880"/>
        <c:axId val="97837056"/>
      </c:lineChart>
      <c:catAx>
        <c:axId val="9783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Учащиеся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837056"/>
        <c:crosses val="autoZero"/>
        <c:auto val="1"/>
        <c:lblAlgn val="ctr"/>
        <c:lblOffset val="100"/>
        <c:noMultiLvlLbl val="0"/>
      </c:catAx>
      <c:valAx>
        <c:axId val="9783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Набранные баллы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834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Результативность участника тестирования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62227764214988E-2"/>
          <c:y val="8.8143594960895078E-2"/>
          <c:w val="0.91179829148655389"/>
          <c:h val="0.72412012277111182"/>
        </c:manualLayout>
      </c:layout>
      <c:barChart>
        <c:barDir val="col"/>
        <c:grouping val="clustered"/>
        <c:varyColors val="0"/>
        <c:ser>
          <c:idx val="0"/>
          <c:order val="0"/>
          <c:tx>
            <c:v>Результативность учащегося</c:v>
          </c:tx>
          <c:invertIfNegative val="0"/>
          <c:val>
            <c:numRef>
              <c:f>'Ф2-Г3'!$Y$12:$Y$46</c:f>
              <c:numCache>
                <c:formatCode>0%</c:formatCode>
                <c:ptCount val="35"/>
                <c:pt idx="0">
                  <c:v>0.4</c:v>
                </c:pt>
                <c:pt idx="1">
                  <c:v>0.8</c:v>
                </c:pt>
                <c:pt idx="2">
                  <c:v>0.6</c:v>
                </c:pt>
                <c:pt idx="3">
                  <c:v>0.6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0.6</c:v>
                </c:pt>
                <c:pt idx="8">
                  <c:v>0.6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0.6</c:v>
                </c:pt>
                <c:pt idx="13">
                  <c:v>0.2</c:v>
                </c:pt>
                <c:pt idx="14">
                  <c:v>0.6</c:v>
                </c:pt>
                <c:pt idx="15">
                  <c:v>0.4</c:v>
                </c:pt>
                <c:pt idx="16">
                  <c:v>0.4</c:v>
                </c:pt>
                <c:pt idx="17">
                  <c:v>0.8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9184"/>
        <c:axId val="97951104"/>
      </c:barChart>
      <c:lineChart>
        <c:grouping val="standard"/>
        <c:varyColors val="0"/>
        <c:ser>
          <c:idx val="1"/>
          <c:order val="1"/>
          <c:tx>
            <c:v>Результативность всей работы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'Ф2-Г3'!$E$12:$E$46</c:f>
              <c:strCache>
                <c:ptCount val="35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strCache>
            </c:strRef>
          </c:cat>
          <c:val>
            <c:numRef>
              <c:f>'Ф2-Г3'!$Z$12:$Z$46</c:f>
              <c:numCache>
                <c:formatCode>0%</c:formatCode>
                <c:ptCount val="35"/>
                <c:pt idx="0">
                  <c:v>0.52941176470588236</c:v>
                </c:pt>
                <c:pt idx="1">
                  <c:v>0.52941176470588236</c:v>
                </c:pt>
                <c:pt idx="2">
                  <c:v>0.52941176470588236</c:v>
                </c:pt>
                <c:pt idx="3">
                  <c:v>0.52941176470588236</c:v>
                </c:pt>
                <c:pt idx="4">
                  <c:v>0.52941176470588236</c:v>
                </c:pt>
                <c:pt idx="5">
                  <c:v>0.52941176470588236</c:v>
                </c:pt>
                <c:pt idx="6">
                  <c:v>0.52941176470588236</c:v>
                </c:pt>
                <c:pt idx="7">
                  <c:v>0.52941176470588236</c:v>
                </c:pt>
                <c:pt idx="8">
                  <c:v>0.52941176470588236</c:v>
                </c:pt>
                <c:pt idx="9">
                  <c:v>0.52941176470588236</c:v>
                </c:pt>
                <c:pt idx="10">
                  <c:v>0.52941176470588236</c:v>
                </c:pt>
                <c:pt idx="11">
                  <c:v>0.52941176470588236</c:v>
                </c:pt>
                <c:pt idx="12">
                  <c:v>0.52941176470588236</c:v>
                </c:pt>
                <c:pt idx="13">
                  <c:v>0.52941176470588236</c:v>
                </c:pt>
                <c:pt idx="14">
                  <c:v>0.52941176470588236</c:v>
                </c:pt>
                <c:pt idx="15">
                  <c:v>0.52941176470588236</c:v>
                </c:pt>
                <c:pt idx="16">
                  <c:v>0.52941176470588236</c:v>
                </c:pt>
                <c:pt idx="17">
                  <c:v>0.52941176470588236</c:v>
                </c:pt>
                <c:pt idx="18">
                  <c:v>0.52941176470588236</c:v>
                </c:pt>
                <c:pt idx="19">
                  <c:v>0.52941176470588236</c:v>
                </c:pt>
                <c:pt idx="20">
                  <c:v>0.52941176470588236</c:v>
                </c:pt>
                <c:pt idx="21">
                  <c:v>0.52941176470588236</c:v>
                </c:pt>
                <c:pt idx="22">
                  <c:v>0.52941176470588236</c:v>
                </c:pt>
                <c:pt idx="23">
                  <c:v>0.52941176470588236</c:v>
                </c:pt>
                <c:pt idx="24">
                  <c:v>0.52941176470588236</c:v>
                </c:pt>
                <c:pt idx="25">
                  <c:v>0.52941176470588236</c:v>
                </c:pt>
                <c:pt idx="26">
                  <c:v>0.52941176470588236</c:v>
                </c:pt>
                <c:pt idx="27">
                  <c:v>0.52941176470588236</c:v>
                </c:pt>
                <c:pt idx="28">
                  <c:v>0.52941176470588236</c:v>
                </c:pt>
                <c:pt idx="29">
                  <c:v>0.52941176470588236</c:v>
                </c:pt>
                <c:pt idx="30">
                  <c:v>0.52941176470588236</c:v>
                </c:pt>
                <c:pt idx="31">
                  <c:v>0.52941176470588236</c:v>
                </c:pt>
                <c:pt idx="32">
                  <c:v>0.52941176470588236</c:v>
                </c:pt>
                <c:pt idx="33">
                  <c:v>0.52941176470588236</c:v>
                </c:pt>
                <c:pt idx="34">
                  <c:v>0.52941176470588236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9184"/>
        <c:axId val="97951104"/>
      </c:lineChart>
      <c:catAx>
        <c:axId val="9794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Учащиеся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951104"/>
        <c:crosses val="autoZero"/>
        <c:auto val="1"/>
        <c:lblAlgn val="ctr"/>
        <c:lblOffset val="100"/>
        <c:noMultiLvlLbl val="0"/>
      </c:catAx>
      <c:valAx>
        <c:axId val="9795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Результативность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949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Обязательной части (чел.)</a:t>
            </a:r>
          </a:p>
        </c:rich>
      </c:tx>
      <c:layout>
        <c:manualLayout>
          <c:xMode val="edge"/>
          <c:yMode val="edge"/>
          <c:x val="0.14907532241922997"/>
          <c:y val="2.5875710848643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4333073230714E-2"/>
          <c:y val="0.11548738048766473"/>
          <c:w val="0.90772164290274526"/>
          <c:h val="0.63686680086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'Ф3-ОУ'!$A$6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('Ф3-ОУ'!$B$6,'Ф3-ОУ'!$D$6,'Ф3-ОУ'!$F$6,'Ф3-ОУ'!$H$6,'Ф3-ОУ'!$J$6,'Ф3-ОУ'!$L$6)</c:f>
              <c:numCache>
                <c:formatCode>General</c:formatCode>
                <c:ptCount val="5"/>
                <c:pt idx="0">
                  <c:v>37</c:v>
                </c:pt>
                <c:pt idx="1">
                  <c:v>33</c:v>
                </c:pt>
                <c:pt idx="2">
                  <c:v>36</c:v>
                </c:pt>
                <c:pt idx="3">
                  <c:v>14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'Ф3-ОУ'!$A$7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('Ф3-ОУ'!$B$7,'Ф3-ОУ'!$D$7,'Ф3-ОУ'!$F$7,'Ф3-ОУ'!$H$7,'Ф3-ОУ'!$J$7,'Ф3-ОУ'!$L$7)</c:f>
              <c:numCache>
                <c:formatCode>General</c:formatCode>
                <c:ptCount val="5"/>
                <c:pt idx="0">
                  <c:v>14</c:v>
                </c:pt>
                <c:pt idx="1">
                  <c:v>19</c:v>
                </c:pt>
                <c:pt idx="2">
                  <c:v>15</c:v>
                </c:pt>
                <c:pt idx="3">
                  <c:v>36</c:v>
                </c:pt>
                <c:pt idx="4">
                  <c:v>25</c:v>
                </c:pt>
              </c:numCache>
            </c:numRef>
          </c:val>
        </c:ser>
        <c:ser>
          <c:idx val="2"/>
          <c:order val="2"/>
          <c:tx>
            <c:strRef>
              <c:f>'Ф3-ОУ'!$A$8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('Ф3-ОУ'!$B$8,'Ф3-ОУ'!$D$8,'Ф3-ОУ'!$F$8,'Ф3-ОУ'!$H$8,'Ф3-ОУ'!$J$8,'Ф3-ОУ'!$L$8)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67648"/>
        <c:axId val="90689920"/>
      </c:barChart>
      <c:catAx>
        <c:axId val="90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689920"/>
        <c:crosses val="autoZero"/>
        <c:auto val="1"/>
        <c:lblAlgn val="ctr"/>
        <c:lblOffset val="100"/>
        <c:noMultiLvlLbl val="0"/>
      </c:catAx>
      <c:valAx>
        <c:axId val="9068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667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13574652089352E-2"/>
          <c:y val="0.81466015966754157"/>
          <c:w val="0.93053343152249868"/>
          <c:h val="0.162050798337707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Обязательной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'Ф1-Г3'!$B$11:$B$12</c:f>
              <c:strCache>
                <c:ptCount val="2"/>
                <c:pt idx="0">
                  <c:v>НЕ СПРАВИЛИСЬ С РАБОТОЙ</c:v>
                </c:pt>
                <c:pt idx="1">
                  <c:v>СПРАВИЛИСЬ С РАБОТОЙ НА БАЗОВОМ УРОВНЕ </c:v>
                </c:pt>
              </c:strCache>
            </c:strRef>
          </c:cat>
          <c:val>
            <c:numRef>
              <c:f>'Ф1-Г3'!$D$11:$D$12</c:f>
              <c:numCache>
                <c:formatCode>0.0%</c:formatCode>
                <c:ptCount val="2"/>
                <c:pt idx="0">
                  <c:v>1</c:v>
                </c:pt>
                <c:pt idx="1">
                  <c:v>0.11764705882352941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2576"/>
        <c:axId val="98314112"/>
      </c:barChart>
      <c:catAx>
        <c:axId val="983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314112"/>
        <c:crosses val="autoZero"/>
        <c:auto val="1"/>
        <c:lblAlgn val="ctr"/>
        <c:lblOffset val="100"/>
        <c:noMultiLvlLbl val="0"/>
      </c:catAx>
      <c:valAx>
        <c:axId val="9831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9831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6153836835486253E-2"/>
                  <c:y val="-3.324099722991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461530696238505E-2"/>
                  <c:y val="-5.909510618651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'Ф1-Г3'!$B$13:$B$14</c:f>
              <c:strCache>
                <c:ptCount val="2"/>
                <c:pt idx="0">
                  <c:v>ДОСТИГЛИ ПОВЫШЕННОГО УРОВНЯ</c:v>
                </c:pt>
                <c:pt idx="1">
                  <c:v>НЕ ДОСТИГЛИ ПОВЫШЕННОГО УРОВНЯ</c:v>
                </c:pt>
              </c:strCache>
            </c:strRef>
          </c:cat>
          <c:val>
            <c:numRef>
              <c:f>'Ф1-Г3'!$D$13:$D$14</c:f>
              <c:numCache>
                <c:formatCode>0.0%</c:formatCode>
                <c:ptCount val="2"/>
                <c:pt idx="0">
                  <c:v>5.8823529411764705E-2</c:v>
                </c:pt>
                <c:pt idx="1">
                  <c:v>1.0588235294117647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339072"/>
        <c:axId val="98361344"/>
        <c:axId val="0"/>
      </c:bar3DChart>
      <c:catAx>
        <c:axId val="983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61344"/>
        <c:crosses val="autoZero"/>
        <c:auto val="1"/>
        <c:lblAlgn val="ctr"/>
        <c:lblOffset val="100"/>
        <c:noMultiLvlLbl val="0"/>
      </c:catAx>
      <c:valAx>
        <c:axId val="98361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33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0329081671808"/>
          <c:y val="2.6827261841951076E-2"/>
          <c:w val="0.86580671568100775"/>
          <c:h val="0.8662747157771137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32367149758454E-2"/>
                  <c:y val="-1.455206703804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17820719269995E-2"/>
                  <c:y val="-1.0914050278537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323671497584464E-2"/>
                  <c:y val="-2.182810055707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882984433709071E-3"/>
                  <c:y val="-2.910413407609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'Ф1-Г3'!$F$20:$F$23</c:f>
              <c:strCache>
                <c:ptCount val="4"/>
                <c:pt idx="0">
                  <c:v>ГРУППА РИСКА</c:v>
                </c:pt>
                <c:pt idx="1">
                  <c:v>ДОСТИГ БАЗОВОГО УРОВНЯ</c:v>
                </c:pt>
                <c:pt idx="2">
                  <c:v>ДОСТИГ БАЗОВОГО, НЕ ДОСТИГ ПОВЫШЕННОГО</c:v>
                </c:pt>
                <c:pt idx="3">
                  <c:v>ДОСТИГ ПОВЫШЕННОГО </c:v>
                </c:pt>
              </c:strCache>
            </c:strRef>
          </c:cat>
          <c:val>
            <c:numRef>
              <c:f>'Ф1-Г3'!$G$20:$G$23</c:f>
              <c:numCache>
                <c:formatCode>0.0%</c:formatCode>
                <c:ptCount val="4"/>
                <c:pt idx="0">
                  <c:v>1</c:v>
                </c:pt>
                <c:pt idx="1">
                  <c:v>0.11764705882352941</c:v>
                </c:pt>
                <c:pt idx="2">
                  <c:v>5.8823529411764705E-2</c:v>
                </c:pt>
                <c:pt idx="3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80416"/>
        <c:axId val="97981952"/>
        <c:axId val="0"/>
      </c:bar3DChart>
      <c:catAx>
        <c:axId val="9798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981952"/>
        <c:crosses val="autoZero"/>
        <c:auto val="1"/>
        <c:lblAlgn val="ctr"/>
        <c:lblOffset val="100"/>
        <c:noMultiLvlLbl val="0"/>
      </c:catAx>
      <c:valAx>
        <c:axId val="9798195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9798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Обязательной части (чел.)</a:t>
            </a:r>
          </a:p>
        </c:rich>
      </c:tx>
      <c:layout>
        <c:manualLayout>
          <c:xMode val="edge"/>
          <c:yMode val="edge"/>
          <c:x val="0.14907538747437593"/>
          <c:y val="2.5875710848643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4333073230714E-2"/>
          <c:y val="0.11548738048766473"/>
          <c:w val="0.90772164290274526"/>
          <c:h val="0.63686680086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'Ф4-Г3'!$A$6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('Ф4-Г3'!$B$6,'Ф4-Г3'!$D$6,'Ф4-Г3'!$F$6,'Ф4-Г3'!$H$6,'Ф4-Г3'!$J$6,'Ф4-Г3'!$L$6)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'Ф4-Г3'!$A$7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('Ф4-Г3'!$B$7,'Ф4-Г3'!$D$7,'Ф4-Г3'!$F$7,'Ф4-Г3'!$H$7,'Ф4-Г3'!$J$7,'Ф4-Г3'!$L$7)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ser>
          <c:idx val="2"/>
          <c:order val="2"/>
          <c:tx>
            <c:strRef>
              <c:f>'Ф4-Г3'!$A$8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('Ф4-Г3'!$B$8,'Ф4-Г3'!$D$8,'Ф4-Г3'!$F$8,'Ф4-Г3'!$H$8,'Ф4-Г3'!$J$8,'Ф4-Г3'!$L$8)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8416"/>
        <c:axId val="97469952"/>
      </c:barChart>
      <c:catAx>
        <c:axId val="974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469952"/>
        <c:crosses val="autoZero"/>
        <c:auto val="1"/>
        <c:lblAlgn val="ctr"/>
        <c:lblOffset val="100"/>
        <c:noMultiLvlLbl val="0"/>
      </c:catAx>
      <c:valAx>
        <c:axId val="97469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746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135774086633329E-2"/>
          <c:y val="0.81466015966754157"/>
          <c:w val="0.93053347893557103"/>
          <c:h val="0.162050798337707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Обязательной части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62220793829347E-2"/>
          <c:y val="9.6079329111037892E-2"/>
          <c:w val="0.88440580641705502"/>
          <c:h val="0.64851163168836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'Ф4-Г3'!$A$6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('Ф4-Г3'!$C$6,'Ф4-Г3'!$E$6,'Ф4-Г3'!$G$6,'Ф4-Г3'!$I$6,'Ф4-Г3'!$K$6,'Ф4-Г3'!$M$6)</c:f>
              <c:numCache>
                <c:formatCode>0.0</c:formatCode>
                <c:ptCount val="5"/>
                <c:pt idx="0">
                  <c:v>88.235294117647058</c:v>
                </c:pt>
                <c:pt idx="1">
                  <c:v>70.588235294117652</c:v>
                </c:pt>
                <c:pt idx="2">
                  <c:v>70.588235294117652</c:v>
                </c:pt>
                <c:pt idx="3">
                  <c:v>23.52941176470588</c:v>
                </c:pt>
                <c:pt idx="4">
                  <c:v>29.411764705882355</c:v>
                </c:pt>
              </c:numCache>
            </c:numRef>
          </c:val>
        </c:ser>
        <c:ser>
          <c:idx val="1"/>
          <c:order val="1"/>
          <c:tx>
            <c:strRef>
              <c:f>'Ф4-Г3'!$A$7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('Ф4-Г3'!$C$7,'Ф4-Г3'!$E$7,'Ф4-Г3'!$G$7,'Ф4-Г3'!$I$7,'Ф4-Г3'!$K$7,'Ф4-Г3'!$M$7)</c:f>
              <c:numCache>
                <c:formatCode>0.0</c:formatCode>
                <c:ptCount val="5"/>
                <c:pt idx="0">
                  <c:v>11.76470588235294</c:v>
                </c:pt>
                <c:pt idx="1">
                  <c:v>29.411764705882355</c:v>
                </c:pt>
                <c:pt idx="2">
                  <c:v>29.411764705882355</c:v>
                </c:pt>
                <c:pt idx="3">
                  <c:v>76.470588235294116</c:v>
                </c:pt>
                <c:pt idx="4">
                  <c:v>64.705882352941174</c:v>
                </c:pt>
              </c:numCache>
            </c:numRef>
          </c:val>
        </c:ser>
        <c:ser>
          <c:idx val="2"/>
          <c:order val="2"/>
          <c:tx>
            <c:strRef>
              <c:f>'Ф4-Г3'!$A$8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('Ф4-Г3'!$C$8,'Ф4-Г3'!$E$8,'Ф4-Г3'!$G$8,'Ф4-Г3'!$I$8,'Ф4-Г3'!$K$8,'Ф4-Г3'!$M$8)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1216"/>
        <c:axId val="98122752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1216"/>
        <c:axId val="98122752"/>
      </c:lineChart>
      <c:catAx>
        <c:axId val="981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122752"/>
        <c:crosses val="autoZero"/>
        <c:auto val="1"/>
        <c:lblAlgn val="ctr"/>
        <c:lblOffset val="100"/>
        <c:noMultiLvlLbl val="0"/>
      </c:catAx>
      <c:valAx>
        <c:axId val="981227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12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742026153673177E-2"/>
          <c:y val="0.81854149446788771"/>
          <c:w val="0.87563629878613769"/>
          <c:h val="0.1814585055321122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Дополнительной части (чел.)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'Ф4-Г3'!$A$6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('Ф4-Г3'!$U$6,'Ф4-Г3'!$W$6,'Ф4-Г3'!$Y$6,'Ф4-Г3'!$AA$6,'Ф4-Г3'!$AC$6)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'Ф4-Г3'!$A$7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('Ф4-Г3'!$U$7,'Ф4-Г3'!$W$7,'Ф4-Г3'!$Y$7,'Ф4-Г3'!$AA$7,'Ф4-Г3'!$AC$7)</c:f>
              <c:numCache>
                <c:formatCode>General</c:formatCode>
                <c:ptCount val="5"/>
                <c:pt idx="0">
                  <c:v>16</c:v>
                </c:pt>
                <c:pt idx="1">
                  <c:v>0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'Ф4-Г3'!$A$8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('Ф4-Г3'!$U$8,'Ф4-Г3'!$W$8,'Ф4-Г3'!$Y$8,'Ф4-Г3'!$AA$8,'Ф4-Г3'!$AC$8)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6656"/>
        <c:axId val="98168192"/>
      </c:barChart>
      <c:catAx>
        <c:axId val="981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168192"/>
        <c:crosses val="autoZero"/>
        <c:auto val="1"/>
        <c:lblAlgn val="ctr"/>
        <c:lblOffset val="100"/>
        <c:noMultiLvlLbl val="0"/>
      </c:catAx>
      <c:valAx>
        <c:axId val="9816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166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Дополнительной части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'Ф4-Г3'!$A$6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('Ф4-Г3'!$V$6,'Ф4-Г3'!$X$6,'Ф4-Г3'!$Z$6,'Ф4-Г3'!$AB$6,'Ф4-Г3'!$AD$6)</c:f>
              <c:numCache>
                <c:formatCode>0.0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47.058823529411761</c:v>
                </c:pt>
                <c:pt idx="3">
                  <c:v>35.294117647058826</c:v>
                </c:pt>
                <c:pt idx="4">
                  <c:v>23.52941176470588</c:v>
                </c:pt>
              </c:numCache>
            </c:numRef>
          </c:val>
        </c:ser>
        <c:ser>
          <c:idx val="1"/>
          <c:order val="1"/>
          <c:tx>
            <c:strRef>
              <c:f>'Ф4-Г3'!$A$7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('Ф4-Г3'!$V$7,'Ф4-Г3'!$X$7,'Ф4-Г3'!$Z$7,'Ф4-Г3'!$AB$7,'Ф4-Г3'!$AD$7)</c:f>
              <c:numCache>
                <c:formatCode>0.0</c:formatCode>
                <c:ptCount val="5"/>
                <c:pt idx="0">
                  <c:v>94.117647058823522</c:v>
                </c:pt>
                <c:pt idx="1">
                  <c:v>0</c:v>
                </c:pt>
                <c:pt idx="2">
                  <c:v>52.941176470588239</c:v>
                </c:pt>
                <c:pt idx="3">
                  <c:v>64.705882352941174</c:v>
                </c:pt>
                <c:pt idx="4">
                  <c:v>58.82352941176471</c:v>
                </c:pt>
              </c:numCache>
            </c:numRef>
          </c:val>
        </c:ser>
        <c:ser>
          <c:idx val="2"/>
          <c:order val="2"/>
          <c:tx>
            <c:strRef>
              <c:f>'Ф4-Г3'!$A$8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('Ф4-Г3'!$V$8,'Ф4-Г3'!$X$8,'Ф4-Г3'!$Z$8,'Ф4-Г3'!$AB$8,'Ф4-Г3'!$AD$8)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3248"/>
        <c:axId val="98227328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3248"/>
        <c:axId val="98227328"/>
      </c:lineChart>
      <c:catAx>
        <c:axId val="982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227328"/>
        <c:crosses val="autoZero"/>
        <c:auto val="1"/>
        <c:lblAlgn val="ctr"/>
        <c:lblOffset val="100"/>
        <c:noMultiLvlLbl val="0"/>
      </c:catAx>
      <c:valAx>
        <c:axId val="982273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8213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Обязетельной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'Ф4-Г3'!$A$9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('Ф4-Г3'!$B$9,'Ф4-Г3'!$D$9,'Ф4-Г3'!$F$9,'Ф4-Г3'!$H$9,'Ф4-Г3'!$J$9,'Ф4-Г3'!$L$9)</c:f>
              <c:numCache>
                <c:formatCode>0.0</c:formatCode>
                <c:ptCount val="5"/>
                <c:pt idx="0">
                  <c:v>0.88235294117647056</c:v>
                </c:pt>
                <c:pt idx="1">
                  <c:v>0.70588235294117652</c:v>
                </c:pt>
                <c:pt idx="2">
                  <c:v>0.70588235294117652</c:v>
                </c:pt>
                <c:pt idx="3">
                  <c:v>0.23529411764705882</c:v>
                </c:pt>
                <c:pt idx="4">
                  <c:v>0.29411764705882354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9232"/>
        <c:axId val="98720768"/>
      </c:barChart>
      <c:catAx>
        <c:axId val="987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720768"/>
        <c:crosses val="autoZero"/>
        <c:auto val="1"/>
        <c:lblAlgn val="ctr"/>
        <c:lblOffset val="100"/>
        <c:noMultiLvlLbl val="0"/>
      </c:catAx>
      <c:valAx>
        <c:axId val="98720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7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Дополнительной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'Ф4-Г3'!$A$9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'Ф4-Г3'!$T$10:$X$10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('Ф4-Г3'!$U$9,'Ф4-Г3'!$W$9,'Ф4-Г3'!$Y$9,'Ф4-Г3'!$AA$9,'Ф4-Г3'!$AC$9)</c:f>
              <c:numCache>
                <c:formatCode>0.0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0.47058823529411764</c:v>
                </c:pt>
                <c:pt idx="3">
                  <c:v>0.35294117647058826</c:v>
                </c:pt>
                <c:pt idx="4">
                  <c:v>0.23529411764705882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37152"/>
        <c:axId val="98767616"/>
      </c:barChart>
      <c:catAx>
        <c:axId val="987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767616"/>
        <c:crosses val="autoZero"/>
        <c:auto val="1"/>
        <c:lblAlgn val="ctr"/>
        <c:lblOffset val="100"/>
        <c:noMultiLvlLbl val="0"/>
      </c:catAx>
      <c:valAx>
        <c:axId val="987676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73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Обязательной части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62220793829347E-2"/>
          <c:y val="9.6079329111037892E-2"/>
          <c:w val="0.88440580641705502"/>
          <c:h val="0.64851163168836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'Ф3-ОУ'!$A$6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('Ф3-ОУ'!$C$6,'Ф3-ОУ'!$E$6,'Ф3-ОУ'!$G$6,'Ф3-ОУ'!$I$6,'Ф3-ОУ'!$K$6,'Ф3-ОУ'!$M$6)</c:f>
              <c:numCache>
                <c:formatCode>0.0</c:formatCode>
                <c:ptCount val="5"/>
                <c:pt idx="0">
                  <c:v>72.549019607843135</c:v>
                </c:pt>
                <c:pt idx="1">
                  <c:v>64.705882352941174</c:v>
                </c:pt>
                <c:pt idx="2">
                  <c:v>70.588235294117652</c:v>
                </c:pt>
                <c:pt idx="3">
                  <c:v>27.450980392156865</c:v>
                </c:pt>
                <c:pt idx="4">
                  <c:v>49.019607843137251</c:v>
                </c:pt>
              </c:numCache>
            </c:numRef>
          </c:val>
        </c:ser>
        <c:ser>
          <c:idx val="1"/>
          <c:order val="1"/>
          <c:tx>
            <c:strRef>
              <c:f>'Ф3-ОУ'!$A$7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('Ф3-ОУ'!$C$7,'Ф3-ОУ'!$E$7,'Ф3-ОУ'!$G$7,'Ф3-ОУ'!$I$7,'Ф3-ОУ'!$K$7,'Ф3-ОУ'!$M$7)</c:f>
              <c:numCache>
                <c:formatCode>0.0</c:formatCode>
                <c:ptCount val="5"/>
                <c:pt idx="0">
                  <c:v>27.450980392156865</c:v>
                </c:pt>
                <c:pt idx="1">
                  <c:v>37.254901960784316</c:v>
                </c:pt>
                <c:pt idx="2">
                  <c:v>29.411764705882355</c:v>
                </c:pt>
                <c:pt idx="3">
                  <c:v>70.588235294117652</c:v>
                </c:pt>
                <c:pt idx="4">
                  <c:v>49.019607843137251</c:v>
                </c:pt>
              </c:numCache>
            </c:numRef>
          </c:val>
        </c:ser>
        <c:ser>
          <c:idx val="2"/>
          <c:order val="2"/>
          <c:tx>
            <c:strRef>
              <c:f>'Ф3-ОУ'!$A$8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('Ф3-ОУ'!$C$8,'Ф3-ОУ'!$E$8,'Ф3-ОУ'!$G$8,'Ф3-ОУ'!$I$8,'Ф3-ОУ'!$K$8,'Ф3-ОУ'!$M$8)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84832"/>
        <c:axId val="90986368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'Ф2-Г1'!$H$61:$M$61</c:f>
              <c:numCache>
                <c:formatCode>0</c:formatCode>
                <c:ptCount val="6"/>
                <c:pt idx="0">
                  <c:v>67.777777777777786</c:v>
                </c:pt>
                <c:pt idx="1">
                  <c:v>67.777777777777786</c:v>
                </c:pt>
                <c:pt idx="2">
                  <c:v>67.777777777777786</c:v>
                </c:pt>
                <c:pt idx="3">
                  <c:v>67.777777777777786</c:v>
                </c:pt>
                <c:pt idx="4">
                  <c:v>67.777777777777786</c:v>
                </c:pt>
                <c:pt idx="5">
                  <c:v>67.777777777777786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4832"/>
        <c:axId val="90986368"/>
      </c:lineChart>
      <c:catAx>
        <c:axId val="909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986368"/>
        <c:crosses val="autoZero"/>
        <c:auto val="1"/>
        <c:lblAlgn val="ctr"/>
        <c:lblOffset val="100"/>
        <c:noMultiLvlLbl val="0"/>
      </c:catAx>
      <c:valAx>
        <c:axId val="909863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98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742075362850396E-2"/>
          <c:y val="0.81854149446788771"/>
          <c:w val="0.87563624415943642"/>
          <c:h val="0.1814585055321122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Статистика выполнения заданий Дополнительной части (чел.)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'Ф3-ОУ'!$A$6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('Ф3-ОУ'!$U$6,'Ф3-ОУ'!$W$6,'Ф3-ОУ'!$Y$6,'Ф3-ОУ'!$AA$6,'Ф3-ОУ'!$AC$6)</c:f>
              <c:numCache>
                <c:formatCode>General</c:formatCode>
                <c:ptCount val="5"/>
                <c:pt idx="0">
                  <c:v>3</c:v>
                </c:pt>
                <c:pt idx="1">
                  <c:v>52</c:v>
                </c:pt>
                <c:pt idx="2">
                  <c:v>32</c:v>
                </c:pt>
                <c:pt idx="3">
                  <c:v>32</c:v>
                </c:pt>
                <c:pt idx="4">
                  <c:v>27</c:v>
                </c:pt>
              </c:numCache>
            </c:numRef>
          </c:val>
        </c:ser>
        <c:ser>
          <c:idx val="1"/>
          <c:order val="1"/>
          <c:tx>
            <c:strRef>
              <c:f>'Ф3-ОУ'!$A$7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('Ф3-ОУ'!$U$7,'Ф3-ОУ'!$W$7,'Ф3-ОУ'!$Y$7,'Ф3-ОУ'!$AA$7,'Ф3-ОУ'!$AC$7)</c:f>
              <c:numCache>
                <c:formatCode>General</c:formatCode>
                <c:ptCount val="5"/>
                <c:pt idx="0">
                  <c:v>43</c:v>
                </c:pt>
                <c:pt idx="1">
                  <c:v>1</c:v>
                </c:pt>
                <c:pt idx="2">
                  <c:v>17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'Ф3-ОУ'!$A$8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('Ф3-ОУ'!$U$8,'Ф3-ОУ'!$W$8,'Ф3-ОУ'!$Y$8,'Ф3-ОУ'!$AA$8,'Ф3-ОУ'!$AC$8)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02976"/>
        <c:axId val="90704512"/>
      </c:barChart>
      <c:catAx>
        <c:axId val="907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704512"/>
        <c:crosses val="autoZero"/>
        <c:auto val="1"/>
        <c:lblAlgn val="ctr"/>
        <c:lblOffset val="100"/>
        <c:noMultiLvlLbl val="0"/>
      </c:catAx>
      <c:valAx>
        <c:axId val="9070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702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Статистика выполнения заданий Дополнительной части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'Ф3-ОУ'!$A$6</c:f>
              <c:strCache>
                <c:ptCount val="1"/>
                <c:pt idx="0">
                  <c:v>выполнили задание безошибочно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('Ф3-ОУ'!$V$6,'Ф3-ОУ'!$X$6,'Ф3-ОУ'!$Z$6,'Ф3-ОУ'!$AB$6,'Ф3-ОУ'!$AD$6)</c:f>
              <c:numCache>
                <c:formatCode>0.0</c:formatCode>
                <c:ptCount val="5"/>
                <c:pt idx="0">
                  <c:v>5.8823529411764701</c:v>
                </c:pt>
                <c:pt idx="1">
                  <c:v>101.96078431372548</c:v>
                </c:pt>
                <c:pt idx="2">
                  <c:v>62.745098039215684</c:v>
                </c:pt>
                <c:pt idx="3">
                  <c:v>62.745098039215684</c:v>
                </c:pt>
                <c:pt idx="4">
                  <c:v>52.941176470588239</c:v>
                </c:pt>
              </c:numCache>
            </c:numRef>
          </c:val>
        </c:ser>
        <c:ser>
          <c:idx val="1"/>
          <c:order val="1"/>
          <c:tx>
            <c:strRef>
              <c:f>'Ф3-ОУ'!$A$7</c:f>
              <c:strCache>
                <c:ptCount val="1"/>
                <c:pt idx="0">
                  <c:v>допустили ошибку при выполнении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('Ф3-ОУ'!$V$7,'Ф3-ОУ'!$X$7,'Ф3-ОУ'!$Z$7,'Ф3-ОУ'!$AB$7,'Ф3-ОУ'!$AD$7)</c:f>
              <c:numCache>
                <c:formatCode>0.0</c:formatCode>
                <c:ptCount val="5"/>
                <c:pt idx="0">
                  <c:v>84.313725490196077</c:v>
                </c:pt>
                <c:pt idx="1">
                  <c:v>1.9607843137254901</c:v>
                </c:pt>
                <c:pt idx="2">
                  <c:v>33.333333333333329</c:v>
                </c:pt>
                <c:pt idx="3">
                  <c:v>37.254901960784316</c:v>
                </c:pt>
                <c:pt idx="4">
                  <c:v>33.333333333333329</c:v>
                </c:pt>
              </c:numCache>
            </c:numRef>
          </c:val>
        </c:ser>
        <c:ser>
          <c:idx val="2"/>
          <c:order val="2"/>
          <c:tx>
            <c:strRef>
              <c:f>'Ф3-ОУ'!$A$8</c:f>
              <c:strCache>
                <c:ptCount val="1"/>
                <c:pt idx="0">
                  <c:v>не приступили к выполнению задания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('Ф3-ОУ'!$V$8,'Ф3-ОУ'!$X$8,'Ф3-ОУ'!$Z$8,'Ф3-ОУ'!$AB$8,'Ф3-ОУ'!$AD$8)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5584"/>
        <c:axId val="90841472"/>
      </c:barChart>
      <c:lineChart>
        <c:grouping val="standard"/>
        <c:varyColors val="0"/>
        <c:ser>
          <c:idx val="3"/>
          <c:order val="3"/>
          <c:tx>
            <c:v>Результативность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'Ф2-Г1'!$O$61:$S$61</c:f>
              <c:numCache>
                <c:formatCode>0</c:formatCode>
                <c:ptCount val="5"/>
                <c:pt idx="0">
                  <c:v>61.111111111111114</c:v>
                </c:pt>
                <c:pt idx="1">
                  <c:v>61.111111111111114</c:v>
                </c:pt>
                <c:pt idx="2">
                  <c:v>61.111111111111114</c:v>
                </c:pt>
                <c:pt idx="3">
                  <c:v>61.111111111111114</c:v>
                </c:pt>
                <c:pt idx="4">
                  <c:v>61.111111111111114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584"/>
        <c:axId val="90841472"/>
      </c:lineChart>
      <c:catAx>
        <c:axId val="908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835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Обязетельной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'Ф3-ОУ'!$A$9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'Ф3-ОУ'!$D$10:$H$10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('Ф3-ОУ'!$B$9,'Ф3-ОУ'!$D$9,'Ф3-ОУ'!$F$9,'Ф3-ОУ'!$H$9,'Ф3-ОУ'!$J$9,'Ф3-ОУ'!$L$9)</c:f>
              <c:numCache>
                <c:formatCode>0.0</c:formatCode>
                <c:ptCount val="5"/>
                <c:pt idx="0">
                  <c:v>0.72549019607843135</c:v>
                </c:pt>
                <c:pt idx="1">
                  <c:v>0.6470588235294118</c:v>
                </c:pt>
                <c:pt idx="2">
                  <c:v>0.70588235294117652</c:v>
                </c:pt>
                <c:pt idx="3">
                  <c:v>0.27450980392156865</c:v>
                </c:pt>
                <c:pt idx="4">
                  <c:v>0.49019607843137253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77952"/>
        <c:axId val="90879488"/>
      </c:barChart>
      <c:catAx>
        <c:axId val="908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879488"/>
        <c:crosses val="autoZero"/>
        <c:auto val="1"/>
        <c:lblAlgn val="ctr"/>
        <c:lblOffset val="100"/>
        <c:noMultiLvlLbl val="0"/>
      </c:catAx>
      <c:valAx>
        <c:axId val="908794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87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Трудность заданий Дополнительной части работы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'Ф3-ОУ'!$A$9</c:f>
              <c:strCache>
                <c:ptCount val="1"/>
                <c:pt idx="0">
                  <c:v>трудность заданий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'Ф3-ОУ'!$T$10:$X$10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('Ф3-ОУ'!$U$9,'Ф3-ОУ'!$W$9,'Ф3-ОУ'!$Y$9,'Ф3-ОУ'!$AA$9,'Ф3-ОУ'!$AC$9)</c:f>
              <c:numCache>
                <c:formatCode>0.0</c:formatCode>
                <c:ptCount val="5"/>
                <c:pt idx="0">
                  <c:v>5.8823529411764705E-2</c:v>
                </c:pt>
                <c:pt idx="1">
                  <c:v>1.0196078431372548</c:v>
                </c:pt>
                <c:pt idx="2">
                  <c:v>0.62745098039215685</c:v>
                </c:pt>
                <c:pt idx="3">
                  <c:v>0.62745098039215685</c:v>
                </c:pt>
                <c:pt idx="4">
                  <c:v>0.52941176470588236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31040"/>
        <c:axId val="91032576"/>
      </c:barChart>
      <c:catAx>
        <c:axId val="910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032576"/>
        <c:crosses val="autoZero"/>
        <c:auto val="1"/>
        <c:lblAlgn val="ctr"/>
        <c:lblOffset val="100"/>
        <c:noMultiLvlLbl val="0"/>
      </c:catAx>
      <c:valAx>
        <c:axId val="9103257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103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66675</xdr:rowOff>
    </xdr:from>
    <xdr:to>
      <xdr:col>8</xdr:col>
      <xdr:colOff>123825</xdr:colOff>
      <xdr:row>15</xdr:row>
      <xdr:rowOff>104775</xdr:rowOff>
    </xdr:to>
    <xdr:graphicFrame macro="">
      <xdr:nvGraphicFramePr>
        <xdr:cNvPr id="351349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114300</xdr:rowOff>
    </xdr:from>
    <xdr:to>
      <xdr:col>3</xdr:col>
      <xdr:colOff>866775</xdr:colOff>
      <xdr:row>36</xdr:row>
      <xdr:rowOff>104775</xdr:rowOff>
    </xdr:to>
    <xdr:graphicFrame macro="">
      <xdr:nvGraphicFramePr>
        <xdr:cNvPr id="351349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18</xdr:row>
      <xdr:rowOff>57150</xdr:rowOff>
    </xdr:from>
    <xdr:to>
      <xdr:col>9</xdr:col>
      <xdr:colOff>114300</xdr:colOff>
      <xdr:row>39</xdr:row>
      <xdr:rowOff>0</xdr:rowOff>
    </xdr:to>
    <xdr:graphicFrame macro="">
      <xdr:nvGraphicFramePr>
        <xdr:cNvPr id="351349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85725</xdr:rowOff>
    </xdr:from>
    <xdr:to>
      <xdr:col>14</xdr:col>
      <xdr:colOff>314325</xdr:colOff>
      <xdr:row>32</xdr:row>
      <xdr:rowOff>19050</xdr:rowOff>
    </xdr:to>
    <xdr:graphicFrame macro="">
      <xdr:nvGraphicFramePr>
        <xdr:cNvPr id="3328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34</xdr:row>
      <xdr:rowOff>114300</xdr:rowOff>
    </xdr:from>
    <xdr:to>
      <xdr:col>14</xdr:col>
      <xdr:colOff>361950</xdr:colOff>
      <xdr:row>56</xdr:row>
      <xdr:rowOff>0</xdr:rowOff>
    </xdr:to>
    <xdr:graphicFrame macro="">
      <xdr:nvGraphicFramePr>
        <xdr:cNvPr id="332826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209550</xdr:colOff>
      <xdr:row>10</xdr:row>
      <xdr:rowOff>0</xdr:rowOff>
    </xdr:from>
    <xdr:to>
      <xdr:col>31</xdr:col>
      <xdr:colOff>190500</xdr:colOff>
      <xdr:row>32</xdr:row>
      <xdr:rowOff>0</xdr:rowOff>
    </xdr:to>
    <xdr:graphicFrame macro="">
      <xdr:nvGraphicFramePr>
        <xdr:cNvPr id="332826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247650</xdr:colOff>
      <xdr:row>34</xdr:row>
      <xdr:rowOff>66675</xdr:rowOff>
    </xdr:from>
    <xdr:to>
      <xdr:col>31</xdr:col>
      <xdr:colOff>333375</xdr:colOff>
      <xdr:row>55</xdr:row>
      <xdr:rowOff>133350</xdr:rowOff>
    </xdr:to>
    <xdr:graphicFrame macro="">
      <xdr:nvGraphicFramePr>
        <xdr:cNvPr id="332826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56</xdr:row>
      <xdr:rowOff>19050</xdr:rowOff>
    </xdr:from>
    <xdr:to>
      <xdr:col>15</xdr:col>
      <xdr:colOff>0</xdr:colOff>
      <xdr:row>72</xdr:row>
      <xdr:rowOff>114300</xdr:rowOff>
    </xdr:to>
    <xdr:graphicFrame macro="">
      <xdr:nvGraphicFramePr>
        <xdr:cNvPr id="332826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247650</xdr:colOff>
      <xdr:row>56</xdr:row>
      <xdr:rowOff>0</xdr:rowOff>
    </xdr:from>
    <xdr:to>
      <xdr:col>31</xdr:col>
      <xdr:colOff>323850</xdr:colOff>
      <xdr:row>72</xdr:row>
      <xdr:rowOff>95250</xdr:rowOff>
    </xdr:to>
    <xdr:graphicFrame macro="">
      <xdr:nvGraphicFramePr>
        <xdr:cNvPr id="3328270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133350</xdr:rowOff>
    </xdr:from>
    <xdr:to>
      <xdr:col>7</xdr:col>
      <xdr:colOff>9525</xdr:colOff>
      <xdr:row>25</xdr:row>
      <xdr:rowOff>66675</xdr:rowOff>
    </xdr:to>
    <xdr:graphicFrame macro="">
      <xdr:nvGraphicFramePr>
        <xdr:cNvPr id="3582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84</xdr:row>
      <xdr:rowOff>76200</xdr:rowOff>
    </xdr:from>
    <xdr:to>
      <xdr:col>12</xdr:col>
      <xdr:colOff>95250</xdr:colOff>
      <xdr:row>117</xdr:row>
      <xdr:rowOff>47625</xdr:rowOff>
    </xdr:to>
    <xdr:graphicFrame macro="">
      <xdr:nvGraphicFramePr>
        <xdr:cNvPr id="3582170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26</xdr:row>
      <xdr:rowOff>38100</xdr:rowOff>
    </xdr:from>
    <xdr:to>
      <xdr:col>6</xdr:col>
      <xdr:colOff>771525</xdr:colOff>
      <xdr:row>41</xdr:row>
      <xdr:rowOff>142875</xdr:rowOff>
    </xdr:to>
    <xdr:graphicFrame macro="">
      <xdr:nvGraphicFramePr>
        <xdr:cNvPr id="358217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26</xdr:row>
      <xdr:rowOff>85725</xdr:rowOff>
    </xdr:from>
    <xdr:to>
      <xdr:col>13</xdr:col>
      <xdr:colOff>95250</xdr:colOff>
      <xdr:row>42</xdr:row>
      <xdr:rowOff>19050</xdr:rowOff>
    </xdr:to>
    <xdr:graphicFrame macro="">
      <xdr:nvGraphicFramePr>
        <xdr:cNvPr id="358217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85725</xdr:colOff>
      <xdr:row>7</xdr:row>
      <xdr:rowOff>123825</xdr:rowOff>
    </xdr:from>
    <xdr:to>
      <xdr:col>13</xdr:col>
      <xdr:colOff>219075</xdr:colOff>
      <xdr:row>25</xdr:row>
      <xdr:rowOff>95250</xdr:rowOff>
    </xdr:to>
    <xdr:graphicFrame macro="">
      <xdr:nvGraphicFramePr>
        <xdr:cNvPr id="3582173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466725</xdr:colOff>
      <xdr:row>45</xdr:row>
      <xdr:rowOff>9525</xdr:rowOff>
    </xdr:from>
    <xdr:to>
      <xdr:col>11</xdr:col>
      <xdr:colOff>171450</xdr:colOff>
      <xdr:row>69</xdr:row>
      <xdr:rowOff>19050</xdr:rowOff>
    </xdr:to>
    <xdr:graphicFrame macro="">
      <xdr:nvGraphicFramePr>
        <xdr:cNvPr id="3582174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95250</xdr:rowOff>
    </xdr:from>
    <xdr:to>
      <xdr:col>8</xdr:col>
      <xdr:colOff>228600</xdr:colOff>
      <xdr:row>74</xdr:row>
      <xdr:rowOff>66675</xdr:rowOff>
    </xdr:to>
    <xdr:graphicFrame macro="">
      <xdr:nvGraphicFramePr>
        <xdr:cNvPr id="4799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79</xdr:row>
      <xdr:rowOff>9525</xdr:rowOff>
    </xdr:from>
    <xdr:to>
      <xdr:col>8</xdr:col>
      <xdr:colOff>238125</xdr:colOff>
      <xdr:row>116</xdr:row>
      <xdr:rowOff>85725</xdr:rowOff>
    </xdr:to>
    <xdr:graphicFrame macro="">
      <xdr:nvGraphicFramePr>
        <xdr:cNvPr id="4799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1</xdr:row>
      <xdr:rowOff>66675</xdr:rowOff>
    </xdr:from>
    <xdr:to>
      <xdr:col>8</xdr:col>
      <xdr:colOff>123825</xdr:colOff>
      <xdr:row>15</xdr:row>
      <xdr:rowOff>104775</xdr:rowOff>
    </xdr:to>
    <xdr:graphicFrame macro="">
      <xdr:nvGraphicFramePr>
        <xdr:cNvPr id="4799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17</xdr:row>
      <xdr:rowOff>114300</xdr:rowOff>
    </xdr:from>
    <xdr:to>
      <xdr:col>3</xdr:col>
      <xdr:colOff>866775</xdr:colOff>
      <xdr:row>36</xdr:row>
      <xdr:rowOff>104775</xdr:rowOff>
    </xdr:to>
    <xdr:graphicFrame macro="">
      <xdr:nvGraphicFramePr>
        <xdr:cNvPr id="479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15</xdr:row>
      <xdr:rowOff>142875</xdr:rowOff>
    </xdr:from>
    <xdr:to>
      <xdr:col>8</xdr:col>
      <xdr:colOff>161925</xdr:colOff>
      <xdr:row>36</xdr:row>
      <xdr:rowOff>85725</xdr:rowOff>
    </xdr:to>
    <xdr:graphicFrame macro="">
      <xdr:nvGraphicFramePr>
        <xdr:cNvPr id="47997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85725</xdr:rowOff>
    </xdr:from>
    <xdr:to>
      <xdr:col>14</xdr:col>
      <xdr:colOff>314325</xdr:colOff>
      <xdr:row>32</xdr:row>
      <xdr:rowOff>19050</xdr:rowOff>
    </xdr:to>
    <xdr:graphicFrame macro="">
      <xdr:nvGraphicFramePr>
        <xdr:cNvPr id="79664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34</xdr:row>
      <xdr:rowOff>114300</xdr:rowOff>
    </xdr:from>
    <xdr:to>
      <xdr:col>14</xdr:col>
      <xdr:colOff>361950</xdr:colOff>
      <xdr:row>56</xdr:row>
      <xdr:rowOff>0</xdr:rowOff>
    </xdr:to>
    <xdr:graphicFrame macro="">
      <xdr:nvGraphicFramePr>
        <xdr:cNvPr id="79664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209550</xdr:colOff>
      <xdr:row>10</xdr:row>
      <xdr:rowOff>0</xdr:rowOff>
    </xdr:from>
    <xdr:to>
      <xdr:col>31</xdr:col>
      <xdr:colOff>190500</xdr:colOff>
      <xdr:row>32</xdr:row>
      <xdr:rowOff>0</xdr:rowOff>
    </xdr:to>
    <xdr:graphicFrame macro="">
      <xdr:nvGraphicFramePr>
        <xdr:cNvPr id="79664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247650</xdr:colOff>
      <xdr:row>34</xdr:row>
      <xdr:rowOff>66675</xdr:rowOff>
    </xdr:from>
    <xdr:to>
      <xdr:col>31</xdr:col>
      <xdr:colOff>333375</xdr:colOff>
      <xdr:row>55</xdr:row>
      <xdr:rowOff>133350</xdr:rowOff>
    </xdr:to>
    <xdr:graphicFrame macro="">
      <xdr:nvGraphicFramePr>
        <xdr:cNvPr id="79664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56</xdr:row>
      <xdr:rowOff>19050</xdr:rowOff>
    </xdr:from>
    <xdr:to>
      <xdr:col>15</xdr:col>
      <xdr:colOff>0</xdr:colOff>
      <xdr:row>72</xdr:row>
      <xdr:rowOff>114300</xdr:rowOff>
    </xdr:to>
    <xdr:graphicFrame macro="">
      <xdr:nvGraphicFramePr>
        <xdr:cNvPr id="796650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247650</xdr:colOff>
      <xdr:row>56</xdr:row>
      <xdr:rowOff>0</xdr:rowOff>
    </xdr:from>
    <xdr:to>
      <xdr:col>31</xdr:col>
      <xdr:colOff>323850</xdr:colOff>
      <xdr:row>72</xdr:row>
      <xdr:rowOff>95250</xdr:rowOff>
    </xdr:to>
    <xdr:graphicFrame macro="">
      <xdr:nvGraphicFramePr>
        <xdr:cNvPr id="796651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95250</xdr:rowOff>
    </xdr:from>
    <xdr:to>
      <xdr:col>8</xdr:col>
      <xdr:colOff>228600</xdr:colOff>
      <xdr:row>74</xdr:row>
      <xdr:rowOff>66675</xdr:rowOff>
    </xdr:to>
    <xdr:graphicFrame macro="">
      <xdr:nvGraphicFramePr>
        <xdr:cNvPr id="329955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79</xdr:row>
      <xdr:rowOff>9525</xdr:rowOff>
    </xdr:from>
    <xdr:to>
      <xdr:col>8</xdr:col>
      <xdr:colOff>238125</xdr:colOff>
      <xdr:row>116</xdr:row>
      <xdr:rowOff>85725</xdr:rowOff>
    </xdr:to>
    <xdr:graphicFrame macro="">
      <xdr:nvGraphicFramePr>
        <xdr:cNvPr id="329955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1</xdr:row>
      <xdr:rowOff>66675</xdr:rowOff>
    </xdr:from>
    <xdr:to>
      <xdr:col>8</xdr:col>
      <xdr:colOff>123825</xdr:colOff>
      <xdr:row>15</xdr:row>
      <xdr:rowOff>104775</xdr:rowOff>
    </xdr:to>
    <xdr:graphicFrame macro="">
      <xdr:nvGraphicFramePr>
        <xdr:cNvPr id="329955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17</xdr:row>
      <xdr:rowOff>114300</xdr:rowOff>
    </xdr:from>
    <xdr:to>
      <xdr:col>3</xdr:col>
      <xdr:colOff>866775</xdr:colOff>
      <xdr:row>36</xdr:row>
      <xdr:rowOff>104775</xdr:rowOff>
    </xdr:to>
    <xdr:graphicFrame macro="">
      <xdr:nvGraphicFramePr>
        <xdr:cNvPr id="329955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15</xdr:row>
      <xdr:rowOff>142875</xdr:rowOff>
    </xdr:from>
    <xdr:to>
      <xdr:col>8</xdr:col>
      <xdr:colOff>161925</xdr:colOff>
      <xdr:row>36</xdr:row>
      <xdr:rowOff>85725</xdr:rowOff>
    </xdr:to>
    <xdr:graphicFrame macro="">
      <xdr:nvGraphicFramePr>
        <xdr:cNvPr id="3299558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85725</xdr:rowOff>
    </xdr:from>
    <xdr:to>
      <xdr:col>14</xdr:col>
      <xdr:colOff>314325</xdr:colOff>
      <xdr:row>32</xdr:row>
      <xdr:rowOff>19050</xdr:rowOff>
    </xdr:to>
    <xdr:graphicFrame macro="">
      <xdr:nvGraphicFramePr>
        <xdr:cNvPr id="330164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34</xdr:row>
      <xdr:rowOff>114300</xdr:rowOff>
    </xdr:from>
    <xdr:to>
      <xdr:col>14</xdr:col>
      <xdr:colOff>361950</xdr:colOff>
      <xdr:row>56</xdr:row>
      <xdr:rowOff>0</xdr:rowOff>
    </xdr:to>
    <xdr:graphicFrame macro="">
      <xdr:nvGraphicFramePr>
        <xdr:cNvPr id="330164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209550</xdr:colOff>
      <xdr:row>10</xdr:row>
      <xdr:rowOff>0</xdr:rowOff>
    </xdr:from>
    <xdr:to>
      <xdr:col>31</xdr:col>
      <xdr:colOff>190500</xdr:colOff>
      <xdr:row>32</xdr:row>
      <xdr:rowOff>0</xdr:rowOff>
    </xdr:to>
    <xdr:graphicFrame macro="">
      <xdr:nvGraphicFramePr>
        <xdr:cNvPr id="33016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247650</xdr:colOff>
      <xdr:row>34</xdr:row>
      <xdr:rowOff>66675</xdr:rowOff>
    </xdr:from>
    <xdr:to>
      <xdr:col>31</xdr:col>
      <xdr:colOff>333375</xdr:colOff>
      <xdr:row>55</xdr:row>
      <xdr:rowOff>133350</xdr:rowOff>
    </xdr:to>
    <xdr:graphicFrame macro="">
      <xdr:nvGraphicFramePr>
        <xdr:cNvPr id="330165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56</xdr:row>
      <xdr:rowOff>19050</xdr:rowOff>
    </xdr:from>
    <xdr:to>
      <xdr:col>15</xdr:col>
      <xdr:colOff>0</xdr:colOff>
      <xdr:row>72</xdr:row>
      <xdr:rowOff>114300</xdr:rowOff>
    </xdr:to>
    <xdr:graphicFrame macro="">
      <xdr:nvGraphicFramePr>
        <xdr:cNvPr id="330165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247650</xdr:colOff>
      <xdr:row>56</xdr:row>
      <xdr:rowOff>0</xdr:rowOff>
    </xdr:from>
    <xdr:to>
      <xdr:col>31</xdr:col>
      <xdr:colOff>323850</xdr:colOff>
      <xdr:row>72</xdr:row>
      <xdr:rowOff>95250</xdr:rowOff>
    </xdr:to>
    <xdr:graphicFrame macro="">
      <xdr:nvGraphicFramePr>
        <xdr:cNvPr id="330165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95250</xdr:rowOff>
    </xdr:from>
    <xdr:to>
      <xdr:col>8</xdr:col>
      <xdr:colOff>228600</xdr:colOff>
      <xdr:row>74</xdr:row>
      <xdr:rowOff>66675</xdr:rowOff>
    </xdr:to>
    <xdr:graphicFrame macro="">
      <xdr:nvGraphicFramePr>
        <xdr:cNvPr id="424662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79</xdr:row>
      <xdr:rowOff>9525</xdr:rowOff>
    </xdr:from>
    <xdr:to>
      <xdr:col>8</xdr:col>
      <xdr:colOff>238125</xdr:colOff>
      <xdr:row>116</xdr:row>
      <xdr:rowOff>85725</xdr:rowOff>
    </xdr:to>
    <xdr:graphicFrame macro="">
      <xdr:nvGraphicFramePr>
        <xdr:cNvPr id="42466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1</xdr:row>
      <xdr:rowOff>66675</xdr:rowOff>
    </xdr:from>
    <xdr:to>
      <xdr:col>8</xdr:col>
      <xdr:colOff>123825</xdr:colOff>
      <xdr:row>15</xdr:row>
      <xdr:rowOff>104775</xdr:rowOff>
    </xdr:to>
    <xdr:graphicFrame macro="">
      <xdr:nvGraphicFramePr>
        <xdr:cNvPr id="424662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17</xdr:row>
      <xdr:rowOff>114300</xdr:rowOff>
    </xdr:from>
    <xdr:to>
      <xdr:col>3</xdr:col>
      <xdr:colOff>866775</xdr:colOff>
      <xdr:row>36</xdr:row>
      <xdr:rowOff>104775</xdr:rowOff>
    </xdr:to>
    <xdr:graphicFrame macro="">
      <xdr:nvGraphicFramePr>
        <xdr:cNvPr id="424662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15</xdr:row>
      <xdr:rowOff>142875</xdr:rowOff>
    </xdr:from>
    <xdr:to>
      <xdr:col>8</xdr:col>
      <xdr:colOff>161925</xdr:colOff>
      <xdr:row>36</xdr:row>
      <xdr:rowOff>85725</xdr:rowOff>
    </xdr:to>
    <xdr:graphicFrame macro="">
      <xdr:nvGraphicFramePr>
        <xdr:cNvPr id="4246628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85725</xdr:rowOff>
    </xdr:from>
    <xdr:to>
      <xdr:col>14</xdr:col>
      <xdr:colOff>314325</xdr:colOff>
      <xdr:row>32</xdr:row>
      <xdr:rowOff>19050</xdr:rowOff>
    </xdr:to>
    <xdr:graphicFrame macro="">
      <xdr:nvGraphicFramePr>
        <xdr:cNvPr id="424869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34</xdr:row>
      <xdr:rowOff>114300</xdr:rowOff>
    </xdr:from>
    <xdr:to>
      <xdr:col>14</xdr:col>
      <xdr:colOff>361950</xdr:colOff>
      <xdr:row>56</xdr:row>
      <xdr:rowOff>0</xdr:rowOff>
    </xdr:to>
    <xdr:graphicFrame macro="">
      <xdr:nvGraphicFramePr>
        <xdr:cNvPr id="424869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209550</xdr:colOff>
      <xdr:row>10</xdr:row>
      <xdr:rowOff>0</xdr:rowOff>
    </xdr:from>
    <xdr:to>
      <xdr:col>31</xdr:col>
      <xdr:colOff>190500</xdr:colOff>
      <xdr:row>32</xdr:row>
      <xdr:rowOff>0</xdr:rowOff>
    </xdr:to>
    <xdr:graphicFrame macro="">
      <xdr:nvGraphicFramePr>
        <xdr:cNvPr id="42486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247650</xdr:colOff>
      <xdr:row>34</xdr:row>
      <xdr:rowOff>66675</xdr:rowOff>
    </xdr:from>
    <xdr:to>
      <xdr:col>31</xdr:col>
      <xdr:colOff>333375</xdr:colOff>
      <xdr:row>55</xdr:row>
      <xdr:rowOff>133350</xdr:rowOff>
    </xdr:to>
    <xdr:graphicFrame macro="">
      <xdr:nvGraphicFramePr>
        <xdr:cNvPr id="424869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56</xdr:row>
      <xdr:rowOff>19050</xdr:rowOff>
    </xdr:from>
    <xdr:to>
      <xdr:col>15</xdr:col>
      <xdr:colOff>0</xdr:colOff>
      <xdr:row>72</xdr:row>
      <xdr:rowOff>114300</xdr:rowOff>
    </xdr:to>
    <xdr:graphicFrame macro="">
      <xdr:nvGraphicFramePr>
        <xdr:cNvPr id="424869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247650</xdr:colOff>
      <xdr:row>56</xdr:row>
      <xdr:rowOff>0</xdr:rowOff>
    </xdr:from>
    <xdr:to>
      <xdr:col>31</xdr:col>
      <xdr:colOff>323850</xdr:colOff>
      <xdr:row>72</xdr:row>
      <xdr:rowOff>95250</xdr:rowOff>
    </xdr:to>
    <xdr:graphicFrame macro="">
      <xdr:nvGraphicFramePr>
        <xdr:cNvPr id="4248696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5" sqref="C5:L5"/>
    </sheetView>
  </sheetViews>
  <sheetFormatPr defaultRowHeight="12.75" x14ac:dyDescent="0.2"/>
  <cols>
    <col min="1" max="1" width="2.28515625" customWidth="1"/>
    <col min="2" max="2" width="5" customWidth="1"/>
    <col min="3" max="3" width="11.5703125" customWidth="1"/>
    <col min="4" max="4" width="13.7109375" customWidth="1"/>
    <col min="5" max="5" width="22.42578125" customWidth="1"/>
    <col min="6" max="6" width="23.5703125" customWidth="1"/>
    <col min="7" max="7" width="12.42578125" customWidth="1"/>
    <col min="8" max="8" width="9.28515625" customWidth="1"/>
    <col min="9" max="9" width="10.140625" customWidth="1"/>
    <col min="10" max="10" width="8.5703125" customWidth="1"/>
    <col min="11" max="11" width="6.5703125" customWidth="1"/>
    <col min="12" max="12" width="7.140625" customWidth="1"/>
  </cols>
  <sheetData>
    <row r="1" spans="1:12" ht="15.75" x14ac:dyDescent="0.25">
      <c r="A1" s="156"/>
      <c r="B1" s="177" t="s">
        <v>106</v>
      </c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2" ht="6.75" customHeight="1" x14ac:dyDescent="0.2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1:12" ht="28.5" customHeight="1" x14ac:dyDescent="0.2">
      <c r="A3" s="160"/>
      <c r="B3" s="179" t="s">
        <v>167</v>
      </c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33.75" customHeight="1" x14ac:dyDescent="0.2">
      <c r="A4" s="160"/>
      <c r="B4" s="179" t="s">
        <v>168</v>
      </c>
      <c r="C4" s="179"/>
      <c r="D4" s="179"/>
      <c r="E4" s="179"/>
      <c r="F4" s="179"/>
      <c r="G4" s="179"/>
      <c r="H4" s="179"/>
      <c r="I4" s="179"/>
      <c r="J4" s="179"/>
      <c r="K4" s="179"/>
      <c r="L4" s="180"/>
    </row>
    <row r="5" spans="1:12" ht="30" customHeight="1" x14ac:dyDescent="0.2">
      <c r="A5" s="160"/>
      <c r="B5" s="161"/>
      <c r="C5" s="175" t="s">
        <v>169</v>
      </c>
      <c r="D5" s="175"/>
      <c r="E5" s="175"/>
      <c r="F5" s="175"/>
      <c r="G5" s="175"/>
      <c r="H5" s="175"/>
      <c r="I5" s="175"/>
      <c r="J5" s="175"/>
      <c r="K5" s="175"/>
      <c r="L5" s="176"/>
    </row>
    <row r="6" spans="1:12" ht="21.75" customHeight="1" x14ac:dyDescent="0.2">
      <c r="A6" s="160"/>
      <c r="B6" s="161"/>
      <c r="C6" s="181" t="s">
        <v>170</v>
      </c>
      <c r="D6" s="181"/>
      <c r="E6" s="181"/>
      <c r="F6" s="181"/>
      <c r="G6" s="181"/>
      <c r="H6" s="181"/>
      <c r="I6" s="181"/>
      <c r="J6" s="181"/>
      <c r="K6" s="181"/>
      <c r="L6" s="182"/>
    </row>
    <row r="7" spans="1:12" ht="21.75" customHeight="1" thickBot="1" x14ac:dyDescent="0.25">
      <c r="A7" s="160"/>
      <c r="B7" s="161"/>
      <c r="C7" s="175" t="s">
        <v>32</v>
      </c>
      <c r="D7" s="175"/>
      <c r="E7" s="175"/>
      <c r="F7" s="175"/>
      <c r="G7" s="175"/>
      <c r="H7" s="175"/>
      <c r="I7" s="175"/>
      <c r="J7" s="175"/>
      <c r="K7" s="175"/>
      <c r="L7" s="176"/>
    </row>
    <row r="8" spans="1:12" ht="21.75" customHeight="1" x14ac:dyDescent="0.2">
      <c r="A8" s="160"/>
      <c r="B8" s="161"/>
      <c r="C8" s="183"/>
      <c r="D8" s="184"/>
      <c r="E8" s="162" t="s">
        <v>92</v>
      </c>
      <c r="F8" s="163" t="s">
        <v>107</v>
      </c>
      <c r="G8" s="161"/>
      <c r="H8" s="161"/>
      <c r="I8" s="161"/>
      <c r="J8" s="161"/>
      <c r="K8" s="161"/>
      <c r="L8" s="164"/>
    </row>
    <row r="9" spans="1:12" ht="21.75" customHeight="1" x14ac:dyDescent="0.2">
      <c r="A9" s="160"/>
      <c r="B9" s="161"/>
      <c r="C9" s="185"/>
      <c r="D9" s="186"/>
      <c r="E9" s="165" t="s">
        <v>171</v>
      </c>
      <c r="F9" s="166" t="s">
        <v>109</v>
      </c>
      <c r="G9" s="161"/>
      <c r="H9" s="161"/>
      <c r="I9" s="161"/>
      <c r="J9" s="161"/>
      <c r="K9" s="161"/>
      <c r="L9" s="164"/>
    </row>
    <row r="10" spans="1:12" ht="24.75" customHeight="1" x14ac:dyDescent="0.2">
      <c r="A10" s="160"/>
      <c r="B10" s="161"/>
      <c r="C10" s="187" t="s">
        <v>33</v>
      </c>
      <c r="D10" s="188"/>
      <c r="E10" s="189">
        <v>1</v>
      </c>
      <c r="F10" s="190"/>
      <c r="G10" s="161"/>
      <c r="H10" s="161"/>
      <c r="I10" s="161"/>
      <c r="J10" s="161"/>
      <c r="K10" s="161"/>
      <c r="L10" s="164"/>
    </row>
    <row r="11" spans="1:12" ht="29.25" customHeight="1" x14ac:dyDescent="0.2">
      <c r="A11" s="160"/>
      <c r="B11" s="161"/>
      <c r="C11" s="187" t="s">
        <v>34</v>
      </c>
      <c r="D11" s="188"/>
      <c r="E11" s="191">
        <v>0</v>
      </c>
      <c r="F11" s="192"/>
      <c r="G11" s="161"/>
      <c r="H11" s="161"/>
      <c r="I11" s="161"/>
      <c r="J11" s="161"/>
      <c r="K11" s="161"/>
      <c r="L11" s="164"/>
    </row>
    <row r="12" spans="1:12" ht="30" customHeight="1" thickBot="1" x14ac:dyDescent="0.25">
      <c r="A12" s="160"/>
      <c r="B12" s="161"/>
      <c r="C12" s="193" t="s">
        <v>35</v>
      </c>
      <c r="D12" s="194"/>
      <c r="E12" s="195" t="s">
        <v>94</v>
      </c>
      <c r="F12" s="196"/>
      <c r="G12" s="161"/>
      <c r="H12" s="161"/>
      <c r="I12" s="161"/>
      <c r="J12" s="161"/>
      <c r="K12" s="161"/>
      <c r="L12" s="164"/>
    </row>
    <row r="13" spans="1:12" ht="18.75" customHeight="1" x14ac:dyDescent="0.25">
      <c r="A13" s="160"/>
      <c r="B13" s="161"/>
      <c r="C13" s="197" t="s">
        <v>172</v>
      </c>
      <c r="D13" s="175"/>
      <c r="E13" s="175"/>
      <c r="F13" s="175"/>
      <c r="G13" s="175"/>
      <c r="H13" s="175"/>
      <c r="I13" s="175"/>
      <c r="J13" s="175"/>
      <c r="K13" s="175"/>
      <c r="L13" s="176"/>
    </row>
    <row r="14" spans="1:12" ht="42" customHeight="1" x14ac:dyDescent="0.2">
      <c r="A14" s="160"/>
      <c r="B14" s="161"/>
      <c r="C14" s="198" t="s">
        <v>173</v>
      </c>
      <c r="D14" s="198"/>
      <c r="E14" s="198"/>
      <c r="F14" s="198"/>
      <c r="G14" s="198"/>
      <c r="H14" s="198"/>
      <c r="I14" s="198"/>
      <c r="J14" s="198"/>
      <c r="K14" s="198"/>
      <c r="L14" s="199"/>
    </row>
    <row r="15" spans="1:12" ht="17.25" customHeight="1" x14ac:dyDescent="0.2">
      <c r="A15" s="160"/>
      <c r="B15" s="161"/>
      <c r="C15" s="175" t="s">
        <v>174</v>
      </c>
      <c r="D15" s="175"/>
      <c r="E15" s="175"/>
      <c r="F15" s="175"/>
      <c r="G15" s="175"/>
      <c r="H15" s="175"/>
      <c r="I15" s="175"/>
      <c r="J15" s="175"/>
      <c r="K15" s="175"/>
      <c r="L15" s="176"/>
    </row>
    <row r="16" spans="1:12" ht="45" customHeight="1" x14ac:dyDescent="0.25">
      <c r="A16" s="167"/>
      <c r="B16" s="168"/>
      <c r="C16" s="200" t="s">
        <v>175</v>
      </c>
      <c r="D16" s="201"/>
      <c r="E16" s="201"/>
      <c r="F16" s="201"/>
      <c r="G16" s="201"/>
      <c r="H16" s="201"/>
      <c r="I16" s="201"/>
      <c r="J16" s="201"/>
      <c r="K16" s="201"/>
      <c r="L16" s="202"/>
    </row>
    <row r="17" spans="1:12" ht="50.25" customHeight="1" x14ac:dyDescent="0.2">
      <c r="A17" s="160"/>
      <c r="B17" s="179" t="s">
        <v>36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80"/>
    </row>
    <row r="18" spans="1:12" ht="23.25" customHeight="1" x14ac:dyDescent="0.2">
      <c r="A18" s="157"/>
      <c r="B18" s="175" t="s">
        <v>108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1:12" ht="6" customHeight="1" x14ac:dyDescent="0.2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9"/>
    </row>
    <row r="20" spans="1:12" ht="13.5" thickBot="1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1"/>
    </row>
  </sheetData>
  <mergeCells count="19">
    <mergeCell ref="B18:L18"/>
    <mergeCell ref="C8:D9"/>
    <mergeCell ref="C10:D10"/>
    <mergeCell ref="E10:F10"/>
    <mergeCell ref="C11:D11"/>
    <mergeCell ref="E11:F11"/>
    <mergeCell ref="C12:D12"/>
    <mergeCell ref="E12:F12"/>
    <mergeCell ref="C13:L13"/>
    <mergeCell ref="C14:L14"/>
    <mergeCell ref="C15:L15"/>
    <mergeCell ref="C16:L16"/>
    <mergeCell ref="B17:L17"/>
    <mergeCell ref="C7:L7"/>
    <mergeCell ref="B1:L1"/>
    <mergeCell ref="B3:L3"/>
    <mergeCell ref="B4:L4"/>
    <mergeCell ref="C5:L5"/>
    <mergeCell ref="C6:L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G23"/>
  <sheetViews>
    <sheetView topLeftCell="A5" zoomScaleNormal="100" workbookViewId="0">
      <selection activeCell="B5" sqref="B5"/>
    </sheetView>
  </sheetViews>
  <sheetFormatPr defaultRowHeight="12.75" x14ac:dyDescent="0.2"/>
  <cols>
    <col min="1" max="1" width="2.42578125" customWidth="1"/>
    <col min="2" max="2" width="43.28515625" customWidth="1"/>
    <col min="3" max="3" width="14" customWidth="1"/>
    <col min="4" max="4" width="15.140625" customWidth="1"/>
    <col min="5" max="5" width="9.140625" customWidth="1"/>
    <col min="6" max="6" width="32" customWidth="1"/>
    <col min="7" max="7" width="15.85546875" customWidth="1"/>
    <col min="8" max="8" width="15.140625" customWidth="1"/>
    <col min="9" max="10" width="4" customWidth="1"/>
  </cols>
  <sheetData>
    <row r="1" spans="2:7" ht="18" customHeight="1" x14ac:dyDescent="0.25">
      <c r="B1" s="208" t="s">
        <v>110</v>
      </c>
      <c r="C1" s="208"/>
      <c r="D1" s="208"/>
      <c r="E1" s="208"/>
      <c r="F1" s="208"/>
      <c r="G1" s="17" t="str">
        <f>C5</f>
        <v>1Б</v>
      </c>
    </row>
    <row r="2" spans="2:7" ht="12" customHeight="1" x14ac:dyDescent="0.2"/>
    <row r="3" spans="2:7" x14ac:dyDescent="0.2">
      <c r="B3" s="1" t="s">
        <v>47</v>
      </c>
      <c r="C3" s="209" t="str">
        <f>'Ф2-Г2'!M2</f>
        <v>г.Хабаровск</v>
      </c>
      <c r="D3" s="209"/>
    </row>
    <row r="4" spans="2:7" x14ac:dyDescent="0.2">
      <c r="B4" s="1" t="s">
        <v>16</v>
      </c>
      <c r="C4" s="209" t="str">
        <f>'Ф2-Г2'!M3</f>
        <v>МБОУ СОШ № 83</v>
      </c>
      <c r="D4" s="209"/>
    </row>
    <row r="5" spans="2:7" x14ac:dyDescent="0.2">
      <c r="B5" s="1" t="s">
        <v>7</v>
      </c>
      <c r="C5" s="209" t="str">
        <f>'Ф2-Г2'!M6</f>
        <v>1Б</v>
      </c>
      <c r="D5" s="209"/>
    </row>
    <row r="6" spans="2:7" x14ac:dyDescent="0.2">
      <c r="B6" s="1" t="s">
        <v>17</v>
      </c>
      <c r="C6" s="210">
        <f>'Ф2-Г2'!M7</f>
        <v>21</v>
      </c>
      <c r="D6" s="210"/>
    </row>
    <row r="7" spans="2:7" ht="15.75" x14ac:dyDescent="0.2">
      <c r="B7" s="211" t="s">
        <v>18</v>
      </c>
      <c r="C7" s="211"/>
      <c r="D7" s="211"/>
    </row>
    <row r="8" spans="2:7" ht="38.25" x14ac:dyDescent="0.2">
      <c r="B8" s="12" t="s">
        <v>19</v>
      </c>
      <c r="C8" s="13" t="s">
        <v>20</v>
      </c>
      <c r="D8" s="13" t="s">
        <v>21</v>
      </c>
    </row>
    <row r="9" spans="2:7" x14ac:dyDescent="0.2">
      <c r="B9" s="44" t="s">
        <v>43</v>
      </c>
      <c r="C9" s="2">
        <f>'Ф2-Г2'!I50</f>
        <v>16</v>
      </c>
      <c r="D9" s="11">
        <f>C9/C6</f>
        <v>0.76190476190476186</v>
      </c>
    </row>
    <row r="10" spans="2:7" ht="15.75" x14ac:dyDescent="0.2">
      <c r="B10" s="203" t="s">
        <v>92</v>
      </c>
      <c r="C10" s="204"/>
      <c r="D10" s="205"/>
    </row>
    <row r="11" spans="2:7" x14ac:dyDescent="0.2">
      <c r="B11" s="24" t="s">
        <v>25</v>
      </c>
      <c r="C11" s="2">
        <f>'Ф2-Г2'!U47</f>
        <v>19</v>
      </c>
      <c r="D11" s="11">
        <f>C11/$C$9</f>
        <v>1.1875</v>
      </c>
    </row>
    <row r="12" spans="2:7" x14ac:dyDescent="0.2">
      <c r="B12" s="25" t="s">
        <v>148</v>
      </c>
      <c r="C12" s="2">
        <f>'Ф2-Г2'!U48</f>
        <v>2</v>
      </c>
      <c r="D12" s="11">
        <f>C12/$C$9</f>
        <v>0.125</v>
      </c>
    </row>
    <row r="13" spans="2:7" x14ac:dyDescent="0.2">
      <c r="B13" s="26" t="s">
        <v>140</v>
      </c>
      <c r="C13" s="2">
        <f>'Ф2-Г2'!V48</f>
        <v>2</v>
      </c>
      <c r="D13" s="11">
        <f>C13/$C$9</f>
        <v>0.125</v>
      </c>
    </row>
    <row r="14" spans="2:7" x14ac:dyDescent="0.2">
      <c r="B14" s="26" t="s">
        <v>141</v>
      </c>
      <c r="C14" s="2">
        <f>'Ф2-Г2'!V47</f>
        <v>19</v>
      </c>
      <c r="D14" s="11">
        <f>C14/$C$9</f>
        <v>1.1875</v>
      </c>
    </row>
    <row r="15" spans="2:7" ht="24" x14ac:dyDescent="0.2">
      <c r="B15" s="114" t="s">
        <v>142</v>
      </c>
      <c r="C15" s="2">
        <f>'Ф2-Г2'!V49</f>
        <v>0</v>
      </c>
      <c r="D15" s="11">
        <f>C15/$C$9</f>
        <v>0</v>
      </c>
    </row>
    <row r="16" spans="2:7" x14ac:dyDescent="0.2">
      <c r="B16" s="27" t="s">
        <v>22</v>
      </c>
      <c r="C16" s="206">
        <f>'Ф2-Г2'!N48</f>
        <v>2.25</v>
      </c>
      <c r="D16" s="206"/>
    </row>
    <row r="17" spans="2:7" x14ac:dyDescent="0.2">
      <c r="B17" s="28" t="s">
        <v>49</v>
      </c>
      <c r="C17" s="250">
        <f>'Ф2-Г2'!N50</f>
        <v>0.45</v>
      </c>
      <c r="D17" s="250"/>
    </row>
    <row r="20" spans="2:7" ht="14.25" customHeight="1" x14ac:dyDescent="0.2">
      <c r="F20" s="10" t="s">
        <v>144</v>
      </c>
      <c r="G20" s="115">
        <f>D11</f>
        <v>1.1875</v>
      </c>
    </row>
    <row r="21" spans="2:7" x14ac:dyDescent="0.2">
      <c r="F21" s="10" t="s">
        <v>143</v>
      </c>
      <c r="G21" s="115">
        <f>D12</f>
        <v>0.125</v>
      </c>
    </row>
    <row r="22" spans="2:7" x14ac:dyDescent="0.2">
      <c r="F22" s="10" t="s">
        <v>145</v>
      </c>
      <c r="G22" s="115">
        <f>D15</f>
        <v>0</v>
      </c>
    </row>
    <row r="23" spans="2:7" x14ac:dyDescent="0.2">
      <c r="F23" s="10" t="s">
        <v>146</v>
      </c>
      <c r="G23" s="115">
        <f>D13</f>
        <v>0.125</v>
      </c>
    </row>
  </sheetData>
  <mergeCells count="9">
    <mergeCell ref="B10:D10"/>
    <mergeCell ref="C16:D16"/>
    <mergeCell ref="C17:D17"/>
    <mergeCell ref="B1:F1"/>
    <mergeCell ref="C3:D3"/>
    <mergeCell ref="C4:D4"/>
    <mergeCell ref="C5:D5"/>
    <mergeCell ref="C6:D6"/>
    <mergeCell ref="B7:D7"/>
  </mergeCells>
  <pageMargins left="0.25" right="0.25" top="0.75" bottom="0.75" header="0.3" footer="0.3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D61"/>
  <sheetViews>
    <sheetView topLeftCell="B40" zoomScale="90" zoomScaleNormal="90" workbookViewId="0">
      <selection activeCell="U33" sqref="U33:W46"/>
    </sheetView>
  </sheetViews>
  <sheetFormatPr defaultRowHeight="12.75" x14ac:dyDescent="0.2"/>
  <cols>
    <col min="1" max="1" width="4.28515625" customWidth="1"/>
    <col min="2" max="2" width="4.42578125" customWidth="1"/>
    <col min="3" max="3" width="9.42578125" customWidth="1"/>
    <col min="4" max="4" width="6.85546875" customWidth="1"/>
    <col min="5" max="5" width="5.85546875" customWidth="1"/>
    <col min="6" max="6" width="10.85546875" customWidth="1"/>
    <col min="7" max="7" width="11.42578125" customWidth="1"/>
    <col min="8" max="8" width="10.85546875" customWidth="1"/>
    <col min="9" max="13" width="5" customWidth="1"/>
    <col min="14" max="14" width="10.140625" customWidth="1"/>
    <col min="15" max="19" width="5.85546875" customWidth="1"/>
    <col min="20" max="20" width="11.85546875" customWidth="1"/>
    <col min="21" max="22" width="16" customWidth="1"/>
    <col min="23" max="23" width="13.42578125" customWidth="1"/>
    <col min="24" max="24" width="24.5703125" style="10" customWidth="1"/>
    <col min="25" max="26" width="9.140625" style="9" customWidth="1"/>
    <col min="27" max="27" width="8.28515625" customWidth="1"/>
    <col min="28" max="28" width="8.42578125" customWidth="1"/>
    <col min="29" max="29" width="7" customWidth="1"/>
  </cols>
  <sheetData>
    <row r="1" spans="1:30" ht="25.5" customHeight="1" x14ac:dyDescent="0.25">
      <c r="A1" s="256" t="s">
        <v>111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7" t="s">
        <v>139</v>
      </c>
      <c r="V1" s="7"/>
    </row>
    <row r="2" spans="1:30" ht="15.75" customHeight="1" x14ac:dyDescent="0.2">
      <c r="A2" s="257" t="s">
        <v>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1" t="s">
        <v>176</v>
      </c>
      <c r="N2" s="262"/>
      <c r="O2" s="262"/>
      <c r="P2" s="262"/>
      <c r="Q2" s="262"/>
      <c r="R2" s="262"/>
      <c r="S2" s="262"/>
      <c r="T2" s="263"/>
      <c r="U2" s="35">
        <v>27</v>
      </c>
      <c r="V2" s="80"/>
    </row>
    <row r="3" spans="1:30" ht="15" x14ac:dyDescent="0.2">
      <c r="A3" s="257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 t="s">
        <v>177</v>
      </c>
      <c r="N3" s="258"/>
      <c r="O3" s="258"/>
      <c r="P3" s="258"/>
      <c r="Q3" s="258"/>
      <c r="R3" s="258"/>
      <c r="S3" s="258"/>
      <c r="T3" s="258"/>
      <c r="U3" s="36" t="s">
        <v>181</v>
      </c>
      <c r="V3" s="91"/>
    </row>
    <row r="4" spans="1:30" ht="14.25" x14ac:dyDescent="0.2">
      <c r="A4" s="257" t="s">
        <v>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64" t="s">
        <v>178</v>
      </c>
      <c r="N4" s="265"/>
      <c r="O4" s="265"/>
      <c r="P4" s="265"/>
      <c r="Q4" s="265"/>
      <c r="R4" s="265"/>
      <c r="S4" s="265"/>
      <c r="T4" s="266"/>
      <c r="U4" s="16"/>
      <c r="V4" s="66"/>
    </row>
    <row r="5" spans="1:30" ht="14.25" x14ac:dyDescent="0.2">
      <c r="A5" s="259" t="s">
        <v>48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64" t="s">
        <v>179</v>
      </c>
      <c r="N5" s="265"/>
      <c r="O5" s="265"/>
      <c r="P5" s="265"/>
      <c r="Q5" s="265"/>
      <c r="R5" s="265"/>
      <c r="S5" s="265"/>
      <c r="T5" s="266"/>
      <c r="U5" s="16"/>
      <c r="V5" s="66"/>
    </row>
    <row r="6" spans="1:30" ht="15" x14ac:dyDescent="0.2">
      <c r="A6" s="257" t="s">
        <v>26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72" t="s">
        <v>157</v>
      </c>
      <c r="N6" s="272"/>
      <c r="O6" s="272"/>
      <c r="P6" s="272"/>
      <c r="Q6" s="272"/>
      <c r="R6" s="272"/>
      <c r="S6" s="272"/>
      <c r="T6" s="272"/>
      <c r="U6" s="36" t="s">
        <v>52</v>
      </c>
      <c r="V6" s="91"/>
    </row>
    <row r="7" spans="1:30" ht="14.25" x14ac:dyDescent="0.2">
      <c r="A7" s="257" t="s">
        <v>45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8">
        <v>21</v>
      </c>
      <c r="N7" s="258"/>
      <c r="O7" s="258"/>
      <c r="P7" s="258"/>
      <c r="Q7" s="258"/>
      <c r="R7" s="258"/>
      <c r="S7" s="258"/>
      <c r="T7" s="258"/>
      <c r="U7" s="34"/>
      <c r="V7" s="81"/>
    </row>
    <row r="8" spans="1:30" ht="14.25" x14ac:dyDescent="0.2">
      <c r="A8" s="259" t="s">
        <v>2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60" t="s">
        <v>184</v>
      </c>
      <c r="N8" s="260"/>
      <c r="O8" s="260"/>
      <c r="P8" s="260"/>
      <c r="Q8" s="260"/>
      <c r="R8" s="260"/>
      <c r="S8" s="260"/>
      <c r="T8" s="260"/>
      <c r="U8" s="29"/>
      <c r="V8" s="82"/>
    </row>
    <row r="9" spans="1:30" ht="12.75" customHeight="1" thickBot="1" x14ac:dyDescent="0.25">
      <c r="A9" s="267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9"/>
      <c r="N9" s="269"/>
      <c r="O9" s="269"/>
      <c r="P9" s="269"/>
      <c r="Q9" s="269"/>
      <c r="R9" s="269"/>
      <c r="S9" s="269"/>
      <c r="T9" s="269"/>
      <c r="U9" s="269"/>
      <c r="V9" s="62"/>
    </row>
    <row r="10" spans="1:30" ht="15" customHeight="1" x14ac:dyDescent="0.25">
      <c r="A10" s="301" t="s">
        <v>3</v>
      </c>
      <c r="B10" s="299" t="s">
        <v>37</v>
      </c>
      <c r="C10" s="299"/>
      <c r="D10" s="299"/>
      <c r="E10" s="299"/>
      <c r="F10" s="251" t="s">
        <v>137</v>
      </c>
      <c r="G10" s="253" t="s">
        <v>51</v>
      </c>
      <c r="H10" s="255" t="s">
        <v>39</v>
      </c>
      <c r="I10" s="255"/>
      <c r="J10" s="255"/>
      <c r="K10" s="255"/>
      <c r="L10" s="255"/>
      <c r="M10" s="255"/>
      <c r="N10" s="270" t="s">
        <v>38</v>
      </c>
      <c r="O10" s="291" t="s">
        <v>40</v>
      </c>
      <c r="P10" s="291"/>
      <c r="Q10" s="291"/>
      <c r="R10" s="291"/>
      <c r="S10" s="291"/>
      <c r="T10" s="307" t="s">
        <v>41</v>
      </c>
      <c r="U10" s="253" t="s">
        <v>126</v>
      </c>
      <c r="V10" s="253" t="s">
        <v>138</v>
      </c>
      <c r="W10" s="303" t="s">
        <v>127</v>
      </c>
      <c r="Y10" s="10"/>
      <c r="Z10" s="10"/>
      <c r="AA10" s="10"/>
      <c r="AB10" s="10"/>
      <c r="AC10" s="10"/>
    </row>
    <row r="11" spans="1:30" ht="59.25" customHeight="1" x14ac:dyDescent="0.2">
      <c r="A11" s="302"/>
      <c r="B11" s="300"/>
      <c r="C11" s="300"/>
      <c r="D11" s="300"/>
      <c r="E11" s="300"/>
      <c r="F11" s="252"/>
      <c r="G11" s="254"/>
      <c r="H11" s="84">
        <v>1</v>
      </c>
      <c r="I11" s="21">
        <v>2</v>
      </c>
      <c r="J11" s="21">
        <v>3</v>
      </c>
      <c r="K11" s="21">
        <v>4</v>
      </c>
      <c r="L11" s="21">
        <v>5</v>
      </c>
      <c r="M11" s="21">
        <v>6</v>
      </c>
      <c r="N11" s="271"/>
      <c r="O11" s="22">
        <v>7</v>
      </c>
      <c r="P11" s="22">
        <v>8</v>
      </c>
      <c r="Q11" s="22">
        <v>9</v>
      </c>
      <c r="R11" s="22">
        <v>10</v>
      </c>
      <c r="S11" s="22">
        <v>11</v>
      </c>
      <c r="T11" s="308"/>
      <c r="U11" s="254"/>
      <c r="V11" s="254"/>
      <c r="W11" s="304"/>
      <c r="Y11" s="305" t="s">
        <v>93</v>
      </c>
      <c r="Z11" s="306"/>
      <c r="AA11" s="298" t="s">
        <v>95</v>
      </c>
      <c r="AB11" s="298"/>
      <c r="AC11" s="10"/>
      <c r="AD11" s="9"/>
    </row>
    <row r="12" spans="1:30" ht="15" x14ac:dyDescent="0.25">
      <c r="A12" s="119">
        <v>1</v>
      </c>
      <c r="B12" s="85">
        <f>$U$2</f>
        <v>27</v>
      </c>
      <c r="C12" s="86" t="str">
        <f>$U$3</f>
        <v>138075</v>
      </c>
      <c r="D12" s="87" t="str">
        <f>$U$6</f>
        <v>0101</v>
      </c>
      <c r="E12" s="88" t="s">
        <v>53</v>
      </c>
      <c r="F12" s="101">
        <v>1</v>
      </c>
      <c r="G12" s="89" t="s">
        <v>188</v>
      </c>
      <c r="H12" s="93">
        <v>56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20">
        <f t="shared" ref="N12:N46" si="0">SUM(I12:M12)</f>
        <v>5</v>
      </c>
      <c r="O12" s="18">
        <v>1</v>
      </c>
      <c r="P12" s="18">
        <v>1</v>
      </c>
      <c r="Q12" s="18">
        <v>0</v>
      </c>
      <c r="R12" s="18">
        <v>1</v>
      </c>
      <c r="S12" s="18">
        <v>1</v>
      </c>
      <c r="T12" s="19">
        <f>SUM(O12:S12)</f>
        <v>4</v>
      </c>
      <c r="U12" s="83" t="str">
        <f>IF(G12&lt;&gt;"",(IF(F12=1,(IF(AND(H12&gt;=40,N12&gt;=5),"БУ","ГР")),(IF(AND(H12&gt;=20,N12&gt;=4),"БУ","ГР")))),"отсутствует")</f>
        <v>БУ</v>
      </c>
      <c r="V12" s="83" t="str">
        <f>IF(G12&lt;&gt;"",(IF(AND(U12="БУ",T12&gt;=3),"достиг","-")),"отсутствует")</f>
        <v>достиг</v>
      </c>
      <c r="W12" s="120" t="str">
        <f>IF(G12&lt;&gt;"",IF(AA12=AB12,"совпадение",IF(AA12&lt;AB12,"занижено","завышено")),"оценки нет")</f>
        <v>завышено</v>
      </c>
      <c r="X12" s="51">
        <f>$N$48</f>
        <v>2.25</v>
      </c>
      <c r="Y12" s="52">
        <f>N12/5</f>
        <v>1</v>
      </c>
      <c r="Z12" s="52">
        <f>$N$50</f>
        <v>0.45</v>
      </c>
      <c r="AA12" s="10" t="b">
        <f t="shared" ref="AA12:AA46" si="1">IF(G12="ГР",1,IF(G12="БУ",2,IF(G12="ПБ",3)))</f>
        <v>0</v>
      </c>
      <c r="AB12" s="10">
        <f>IF(U12="ГР",1,IF(U12="БУ",2,IF(U12="ПБ",3)))</f>
        <v>2</v>
      </c>
      <c r="AC12" s="10">
        <f>IF(AND(U12="БУ",V12="-"),1,0)</f>
        <v>0</v>
      </c>
      <c r="AD12" s="9"/>
    </row>
    <row r="13" spans="1:30" ht="15" x14ac:dyDescent="0.25">
      <c r="A13" s="119">
        <v>2</v>
      </c>
      <c r="B13" s="85">
        <f t="shared" ref="B13:B32" si="2">$U$2</f>
        <v>27</v>
      </c>
      <c r="C13" s="86" t="str">
        <f t="shared" ref="C13:C32" si="3">$U$3</f>
        <v>138075</v>
      </c>
      <c r="D13" s="87" t="str">
        <f t="shared" ref="D13:D32" si="4">$U$6</f>
        <v>0101</v>
      </c>
      <c r="E13" s="88" t="s">
        <v>54</v>
      </c>
      <c r="F13" s="101">
        <v>1</v>
      </c>
      <c r="G13" s="89" t="s">
        <v>188</v>
      </c>
      <c r="H13" s="93">
        <v>82</v>
      </c>
      <c r="I13" s="14">
        <v>0</v>
      </c>
      <c r="J13" s="14">
        <v>0</v>
      </c>
      <c r="K13" s="14">
        <v>1</v>
      </c>
      <c r="L13" s="14">
        <v>0</v>
      </c>
      <c r="M13" s="14">
        <v>0</v>
      </c>
      <c r="N13" s="20">
        <f t="shared" si="0"/>
        <v>1</v>
      </c>
      <c r="O13" s="18">
        <v>0</v>
      </c>
      <c r="P13" s="18">
        <v>1</v>
      </c>
      <c r="Q13" s="18">
        <v>0</v>
      </c>
      <c r="R13" s="18">
        <v>1</v>
      </c>
      <c r="S13" s="18">
        <v>1</v>
      </c>
      <c r="T13" s="19">
        <f t="shared" ref="T13:T46" si="5">SUM(O13:S13)</f>
        <v>3</v>
      </c>
      <c r="U13" s="83" t="str">
        <f t="shared" ref="U13:U32" si="6">IF(G13&lt;&gt;"",(IF(F13=1,(IF(AND(H13&gt;=40,N13&gt;=5),"БУ","ГР")),(IF(AND(H13&gt;=20,N13&gt;=4),"БУ","ГР")))),"отсутствует")</f>
        <v>ГР</v>
      </c>
      <c r="V13" s="83" t="str">
        <f t="shared" ref="V13:V32" si="7">IF(G13&lt;&gt;"",(IF(AND(U13="БУ",T13&gt;=3),"достиг","-")),"отсутствует")</f>
        <v>-</v>
      </c>
      <c r="W13" s="120" t="str">
        <f t="shared" ref="W13:W32" si="8">IF(G13&lt;&gt;"",IF(AA13=AB13,"совпадение",IF(AA13&lt;AB13,"занижено","завышено")),"оценки нет")</f>
        <v>завышено</v>
      </c>
      <c r="X13" s="51">
        <f t="shared" ref="X13:X46" si="9">$N$48</f>
        <v>2.25</v>
      </c>
      <c r="Y13" s="52">
        <f t="shared" ref="Y13:Y46" si="10">N13/5</f>
        <v>0.2</v>
      </c>
      <c r="Z13" s="52">
        <f t="shared" ref="Z13:Z46" si="11">$N$50</f>
        <v>0.45</v>
      </c>
      <c r="AA13" s="10" t="b">
        <f t="shared" si="1"/>
        <v>0</v>
      </c>
      <c r="AB13" s="10">
        <f t="shared" ref="AB13:AB46" si="12">IF(U13="ГР",1,IF(U13="БУ",2,IF(U13="ПБ",3)))</f>
        <v>1</v>
      </c>
      <c r="AC13" s="10">
        <f t="shared" ref="AC13:AC46" si="13">IF(AND(U13="БУ",V13="-"),1,0)</f>
        <v>0</v>
      </c>
      <c r="AD13" s="9"/>
    </row>
    <row r="14" spans="1:30" ht="15" x14ac:dyDescent="0.25">
      <c r="A14" s="119">
        <v>3</v>
      </c>
      <c r="B14" s="85">
        <f t="shared" si="2"/>
        <v>27</v>
      </c>
      <c r="C14" s="86" t="str">
        <f t="shared" si="3"/>
        <v>138075</v>
      </c>
      <c r="D14" s="87" t="str">
        <f t="shared" si="4"/>
        <v>0101</v>
      </c>
      <c r="E14" s="88" t="s">
        <v>55</v>
      </c>
      <c r="F14" s="101">
        <v>1</v>
      </c>
      <c r="G14" s="89" t="s">
        <v>182</v>
      </c>
      <c r="H14" s="93">
        <v>58</v>
      </c>
      <c r="I14" s="14">
        <v>1</v>
      </c>
      <c r="J14" s="14">
        <v>1</v>
      </c>
      <c r="K14" s="14">
        <v>1</v>
      </c>
      <c r="L14" s="14">
        <v>0</v>
      </c>
      <c r="M14" s="14">
        <v>0</v>
      </c>
      <c r="N14" s="20">
        <f t="shared" si="0"/>
        <v>3</v>
      </c>
      <c r="O14" s="18">
        <v>0</v>
      </c>
      <c r="P14" s="18">
        <v>1</v>
      </c>
      <c r="Q14" s="18">
        <v>1</v>
      </c>
      <c r="R14" s="18">
        <v>1</v>
      </c>
      <c r="S14" s="18">
        <v>0</v>
      </c>
      <c r="T14" s="19">
        <f t="shared" si="5"/>
        <v>3</v>
      </c>
      <c r="U14" s="83" t="str">
        <f t="shared" si="6"/>
        <v>ГР</v>
      </c>
      <c r="V14" s="83" t="str">
        <f t="shared" si="7"/>
        <v>-</v>
      </c>
      <c r="W14" s="120" t="str">
        <f t="shared" si="8"/>
        <v>завышено</v>
      </c>
      <c r="X14" s="51">
        <f t="shared" si="9"/>
        <v>2.25</v>
      </c>
      <c r="Y14" s="52">
        <f t="shared" si="10"/>
        <v>0.6</v>
      </c>
      <c r="Z14" s="52">
        <f t="shared" si="11"/>
        <v>0.45</v>
      </c>
      <c r="AA14" s="10">
        <f t="shared" si="1"/>
        <v>2</v>
      </c>
      <c r="AB14" s="10">
        <f t="shared" si="12"/>
        <v>1</v>
      </c>
      <c r="AC14" s="10">
        <f t="shared" si="13"/>
        <v>0</v>
      </c>
      <c r="AD14" s="9"/>
    </row>
    <row r="15" spans="1:30" ht="15" x14ac:dyDescent="0.25">
      <c r="A15" s="119">
        <v>4</v>
      </c>
      <c r="B15" s="85">
        <f t="shared" si="2"/>
        <v>27</v>
      </c>
      <c r="C15" s="86" t="str">
        <f t="shared" si="3"/>
        <v>138075</v>
      </c>
      <c r="D15" s="87" t="str">
        <f t="shared" si="4"/>
        <v>0101</v>
      </c>
      <c r="E15" s="88" t="s">
        <v>56</v>
      </c>
      <c r="F15" s="101">
        <v>0</v>
      </c>
      <c r="G15" s="89" t="s">
        <v>188</v>
      </c>
      <c r="H15" s="93">
        <v>56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20">
        <f>SUM(I15:M15)</f>
        <v>0</v>
      </c>
      <c r="O15" s="18">
        <v>0</v>
      </c>
      <c r="P15" s="18">
        <v>1</v>
      </c>
      <c r="Q15" s="18">
        <v>1</v>
      </c>
      <c r="R15" s="18">
        <v>1</v>
      </c>
      <c r="S15" s="18">
        <v>0</v>
      </c>
      <c r="T15" s="19">
        <f t="shared" si="5"/>
        <v>3</v>
      </c>
      <c r="U15" s="83" t="str">
        <f t="shared" si="6"/>
        <v>ГР</v>
      </c>
      <c r="V15" s="83" t="str">
        <f t="shared" si="7"/>
        <v>-</v>
      </c>
      <c r="W15" s="120" t="str">
        <f t="shared" si="8"/>
        <v>завышено</v>
      </c>
      <c r="X15" s="51">
        <f t="shared" si="9"/>
        <v>2.25</v>
      </c>
      <c r="Y15" s="52">
        <f t="shared" si="10"/>
        <v>0</v>
      </c>
      <c r="Z15" s="52">
        <f t="shared" si="11"/>
        <v>0.45</v>
      </c>
      <c r="AA15" s="10" t="b">
        <f t="shared" si="1"/>
        <v>0</v>
      </c>
      <c r="AB15" s="10">
        <f t="shared" si="12"/>
        <v>1</v>
      </c>
      <c r="AC15" s="10">
        <f t="shared" si="13"/>
        <v>0</v>
      </c>
      <c r="AD15" s="9"/>
    </row>
    <row r="16" spans="1:30" ht="15" x14ac:dyDescent="0.25">
      <c r="A16" s="119">
        <v>5</v>
      </c>
      <c r="B16" s="85">
        <f t="shared" si="2"/>
        <v>27</v>
      </c>
      <c r="C16" s="86" t="str">
        <f t="shared" si="3"/>
        <v>138075</v>
      </c>
      <c r="D16" s="87" t="str">
        <f t="shared" si="4"/>
        <v>0101</v>
      </c>
      <c r="E16" s="88" t="s">
        <v>57</v>
      </c>
      <c r="F16" s="101">
        <v>0</v>
      </c>
      <c r="G16" s="89" t="s">
        <v>183</v>
      </c>
      <c r="H16" s="93">
        <v>32</v>
      </c>
      <c r="I16" s="14">
        <v>0</v>
      </c>
      <c r="J16" s="14">
        <v>0</v>
      </c>
      <c r="K16" s="14">
        <v>1</v>
      </c>
      <c r="L16" s="14">
        <v>0</v>
      </c>
      <c r="M16" s="14">
        <v>0</v>
      </c>
      <c r="N16" s="20">
        <f t="shared" si="0"/>
        <v>1</v>
      </c>
      <c r="O16" s="18">
        <v>0</v>
      </c>
      <c r="P16" s="18">
        <v>1</v>
      </c>
      <c r="Q16" s="18">
        <v>0</v>
      </c>
      <c r="R16" s="18">
        <v>1</v>
      </c>
      <c r="S16" s="18">
        <v>1</v>
      </c>
      <c r="T16" s="19">
        <f t="shared" si="5"/>
        <v>3</v>
      </c>
      <c r="U16" s="83" t="str">
        <f t="shared" si="6"/>
        <v>ГР</v>
      </c>
      <c r="V16" s="83" t="str">
        <f t="shared" si="7"/>
        <v>-</v>
      </c>
      <c r="W16" s="120" t="str">
        <f t="shared" si="8"/>
        <v>совпадение</v>
      </c>
      <c r="X16" s="51">
        <f t="shared" si="9"/>
        <v>2.25</v>
      </c>
      <c r="Y16" s="52">
        <f t="shared" si="10"/>
        <v>0.2</v>
      </c>
      <c r="Z16" s="52">
        <f t="shared" si="11"/>
        <v>0.45</v>
      </c>
      <c r="AA16" s="10">
        <f t="shared" si="1"/>
        <v>1</v>
      </c>
      <c r="AB16" s="10">
        <f t="shared" si="12"/>
        <v>1</v>
      </c>
      <c r="AC16" s="10">
        <f t="shared" si="13"/>
        <v>0</v>
      </c>
      <c r="AD16" s="9"/>
    </row>
    <row r="17" spans="1:30" ht="15" x14ac:dyDescent="0.25">
      <c r="A17" s="119">
        <v>6</v>
      </c>
      <c r="B17" s="85">
        <f t="shared" si="2"/>
        <v>27</v>
      </c>
      <c r="C17" s="86" t="str">
        <f t="shared" si="3"/>
        <v>138075</v>
      </c>
      <c r="D17" s="87" t="str">
        <f t="shared" si="4"/>
        <v>0101</v>
      </c>
      <c r="E17" s="88" t="s">
        <v>58</v>
      </c>
      <c r="F17" s="101">
        <v>0</v>
      </c>
      <c r="G17" s="89" t="s">
        <v>191</v>
      </c>
      <c r="H17" s="93">
        <v>71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20">
        <f t="shared" si="0"/>
        <v>0</v>
      </c>
      <c r="O17" s="18">
        <v>1</v>
      </c>
      <c r="P17" s="18">
        <v>1</v>
      </c>
      <c r="Q17" s="18">
        <v>0</v>
      </c>
      <c r="R17" s="18">
        <v>1</v>
      </c>
      <c r="S17" s="18">
        <v>0</v>
      </c>
      <c r="T17" s="19">
        <f t="shared" si="5"/>
        <v>3</v>
      </c>
      <c r="U17" s="83" t="str">
        <f t="shared" si="6"/>
        <v>ГР</v>
      </c>
      <c r="V17" s="83" t="str">
        <f t="shared" si="7"/>
        <v>-</v>
      </c>
      <c r="W17" s="120" t="str">
        <f t="shared" si="8"/>
        <v>завышено</v>
      </c>
      <c r="X17" s="51">
        <f t="shared" si="9"/>
        <v>2.25</v>
      </c>
      <c r="Y17" s="52">
        <f t="shared" si="10"/>
        <v>0</v>
      </c>
      <c r="Z17" s="52">
        <f t="shared" si="11"/>
        <v>0.45</v>
      </c>
      <c r="AA17" s="10" t="b">
        <f t="shared" si="1"/>
        <v>0</v>
      </c>
      <c r="AB17" s="10">
        <f t="shared" si="12"/>
        <v>1</v>
      </c>
      <c r="AC17" s="10">
        <f t="shared" si="13"/>
        <v>0</v>
      </c>
      <c r="AD17" s="9"/>
    </row>
    <row r="18" spans="1:30" ht="15" x14ac:dyDescent="0.25">
      <c r="A18" s="119">
        <v>7</v>
      </c>
      <c r="B18" s="85">
        <f t="shared" si="2"/>
        <v>27</v>
      </c>
      <c r="C18" s="86" t="str">
        <f t="shared" si="3"/>
        <v>138075</v>
      </c>
      <c r="D18" s="87" t="str">
        <f t="shared" si="4"/>
        <v>0101</v>
      </c>
      <c r="E18" s="88" t="s">
        <v>59</v>
      </c>
      <c r="F18" s="101">
        <v>0</v>
      </c>
      <c r="G18" s="89" t="s">
        <v>191</v>
      </c>
      <c r="H18" s="93">
        <v>32</v>
      </c>
      <c r="I18" s="14">
        <v>0</v>
      </c>
      <c r="J18" s="14">
        <v>1</v>
      </c>
      <c r="K18" s="14">
        <v>1</v>
      </c>
      <c r="L18" s="14">
        <v>0</v>
      </c>
      <c r="M18" s="14">
        <v>1</v>
      </c>
      <c r="N18" s="20">
        <f t="shared" si="0"/>
        <v>3</v>
      </c>
      <c r="O18" s="18">
        <v>0</v>
      </c>
      <c r="P18" s="18">
        <v>1</v>
      </c>
      <c r="Q18" s="18">
        <v>1</v>
      </c>
      <c r="R18" s="18">
        <v>1</v>
      </c>
      <c r="S18" s="18">
        <v>1</v>
      </c>
      <c r="T18" s="19">
        <f t="shared" si="5"/>
        <v>4</v>
      </c>
      <c r="U18" s="83" t="str">
        <f t="shared" si="6"/>
        <v>ГР</v>
      </c>
      <c r="V18" s="83" t="str">
        <f t="shared" si="7"/>
        <v>-</v>
      </c>
      <c r="W18" s="120" t="str">
        <f t="shared" si="8"/>
        <v>завышено</v>
      </c>
      <c r="X18" s="51">
        <f t="shared" si="9"/>
        <v>2.25</v>
      </c>
      <c r="Y18" s="52">
        <f t="shared" si="10"/>
        <v>0.6</v>
      </c>
      <c r="Z18" s="52">
        <f t="shared" si="11"/>
        <v>0.45</v>
      </c>
      <c r="AA18" s="10" t="b">
        <f t="shared" si="1"/>
        <v>0</v>
      </c>
      <c r="AB18" s="10">
        <f t="shared" si="12"/>
        <v>1</v>
      </c>
      <c r="AC18" s="10">
        <f t="shared" si="13"/>
        <v>0</v>
      </c>
      <c r="AD18" s="9"/>
    </row>
    <row r="19" spans="1:30" ht="15" x14ac:dyDescent="0.25">
      <c r="A19" s="119">
        <v>8</v>
      </c>
      <c r="B19" s="85">
        <f t="shared" si="2"/>
        <v>27</v>
      </c>
      <c r="C19" s="86" t="str">
        <f t="shared" si="3"/>
        <v>138075</v>
      </c>
      <c r="D19" s="87" t="str">
        <f t="shared" si="4"/>
        <v>0101</v>
      </c>
      <c r="E19" s="88" t="s">
        <v>60</v>
      </c>
      <c r="F19" s="101">
        <v>0</v>
      </c>
      <c r="G19" s="89" t="s">
        <v>191</v>
      </c>
      <c r="H19" s="93">
        <v>33</v>
      </c>
      <c r="I19" s="14" t="s">
        <v>190</v>
      </c>
      <c r="J19" s="14">
        <v>0</v>
      </c>
      <c r="K19" s="14" t="s">
        <v>190</v>
      </c>
      <c r="L19" s="14" t="s">
        <v>190</v>
      </c>
      <c r="M19" s="14" t="s">
        <v>190</v>
      </c>
      <c r="N19" s="20">
        <f t="shared" si="0"/>
        <v>0</v>
      </c>
      <c r="O19" s="18" t="s">
        <v>190</v>
      </c>
      <c r="P19" s="18">
        <v>1</v>
      </c>
      <c r="Q19" s="18" t="s">
        <v>190</v>
      </c>
      <c r="R19" s="18" t="s">
        <v>190</v>
      </c>
      <c r="S19" s="18" t="s">
        <v>190</v>
      </c>
      <c r="T19" s="19">
        <f t="shared" si="5"/>
        <v>1</v>
      </c>
      <c r="U19" s="83" t="str">
        <f t="shared" si="6"/>
        <v>ГР</v>
      </c>
      <c r="V19" s="83" t="str">
        <f t="shared" si="7"/>
        <v>-</v>
      </c>
      <c r="W19" s="120" t="str">
        <f t="shared" si="8"/>
        <v>завышено</v>
      </c>
      <c r="X19" s="51">
        <f t="shared" si="9"/>
        <v>2.25</v>
      </c>
      <c r="Y19" s="52">
        <f t="shared" si="10"/>
        <v>0</v>
      </c>
      <c r="Z19" s="52">
        <f t="shared" si="11"/>
        <v>0.45</v>
      </c>
      <c r="AA19" s="10" t="b">
        <f t="shared" si="1"/>
        <v>0</v>
      </c>
      <c r="AB19" s="10">
        <f t="shared" si="12"/>
        <v>1</v>
      </c>
      <c r="AC19" s="10">
        <f t="shared" si="13"/>
        <v>0</v>
      </c>
      <c r="AD19" s="9"/>
    </row>
    <row r="20" spans="1:30" ht="15" x14ac:dyDescent="0.25">
      <c r="A20" s="119">
        <v>9</v>
      </c>
      <c r="B20" s="85">
        <f t="shared" si="2"/>
        <v>27</v>
      </c>
      <c r="C20" s="86" t="str">
        <f t="shared" si="3"/>
        <v>138075</v>
      </c>
      <c r="D20" s="87" t="str">
        <f t="shared" si="4"/>
        <v>0101</v>
      </c>
      <c r="E20" s="88" t="s">
        <v>61</v>
      </c>
      <c r="F20" s="101">
        <v>0</v>
      </c>
      <c r="G20" s="89" t="s">
        <v>191</v>
      </c>
      <c r="H20" s="93">
        <v>33</v>
      </c>
      <c r="I20" s="14">
        <v>0</v>
      </c>
      <c r="J20" s="14">
        <v>1</v>
      </c>
      <c r="K20" s="14">
        <v>1</v>
      </c>
      <c r="L20" s="14">
        <v>0</v>
      </c>
      <c r="M20" s="14">
        <v>1</v>
      </c>
      <c r="N20" s="20">
        <f t="shared" si="0"/>
        <v>3</v>
      </c>
      <c r="O20" s="18" t="s">
        <v>190</v>
      </c>
      <c r="P20" s="18">
        <v>1</v>
      </c>
      <c r="Q20" s="18">
        <v>1</v>
      </c>
      <c r="R20" s="18">
        <v>1</v>
      </c>
      <c r="S20" s="18">
        <v>0</v>
      </c>
      <c r="T20" s="19">
        <f t="shared" si="5"/>
        <v>3</v>
      </c>
      <c r="U20" s="83" t="str">
        <f t="shared" si="6"/>
        <v>ГР</v>
      </c>
      <c r="V20" s="83" t="str">
        <f t="shared" si="7"/>
        <v>-</v>
      </c>
      <c r="W20" s="120" t="str">
        <f t="shared" si="8"/>
        <v>завышено</v>
      </c>
      <c r="X20" s="51">
        <f t="shared" si="9"/>
        <v>2.25</v>
      </c>
      <c r="Y20" s="52">
        <f t="shared" si="10"/>
        <v>0.6</v>
      </c>
      <c r="Z20" s="52">
        <f t="shared" si="11"/>
        <v>0.45</v>
      </c>
      <c r="AA20" s="10" t="b">
        <f t="shared" si="1"/>
        <v>0</v>
      </c>
      <c r="AB20" s="10">
        <f t="shared" si="12"/>
        <v>1</v>
      </c>
      <c r="AC20" s="10">
        <f t="shared" si="13"/>
        <v>0</v>
      </c>
      <c r="AD20" s="9"/>
    </row>
    <row r="21" spans="1:30" ht="15" x14ac:dyDescent="0.25">
      <c r="A21" s="119">
        <v>10</v>
      </c>
      <c r="B21" s="85">
        <f t="shared" si="2"/>
        <v>27</v>
      </c>
      <c r="C21" s="86" t="str">
        <f t="shared" si="3"/>
        <v>138075</v>
      </c>
      <c r="D21" s="87" t="str">
        <f t="shared" si="4"/>
        <v>0101</v>
      </c>
      <c r="E21" s="88" t="s">
        <v>62</v>
      </c>
      <c r="F21" s="101">
        <v>0</v>
      </c>
      <c r="G21" s="89" t="s">
        <v>183</v>
      </c>
      <c r="H21" s="93">
        <v>48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N21" s="20">
        <f t="shared" si="0"/>
        <v>1</v>
      </c>
      <c r="O21" s="18" t="s">
        <v>190</v>
      </c>
      <c r="P21" s="18">
        <v>0</v>
      </c>
      <c r="Q21" s="18" t="s">
        <v>190</v>
      </c>
      <c r="R21" s="18">
        <v>1</v>
      </c>
      <c r="S21" s="18" t="s">
        <v>190</v>
      </c>
      <c r="T21" s="19">
        <f t="shared" si="5"/>
        <v>1</v>
      </c>
      <c r="U21" s="83" t="str">
        <f t="shared" si="6"/>
        <v>ГР</v>
      </c>
      <c r="V21" s="83" t="str">
        <f t="shared" si="7"/>
        <v>-</v>
      </c>
      <c r="W21" s="120" t="str">
        <f t="shared" si="8"/>
        <v>совпадение</v>
      </c>
      <c r="X21" s="51">
        <f t="shared" si="9"/>
        <v>2.25</v>
      </c>
      <c r="Y21" s="52">
        <f t="shared" si="10"/>
        <v>0.2</v>
      </c>
      <c r="Z21" s="52">
        <f t="shared" si="11"/>
        <v>0.45</v>
      </c>
      <c r="AA21" s="10">
        <f t="shared" si="1"/>
        <v>1</v>
      </c>
      <c r="AB21" s="10">
        <f t="shared" si="12"/>
        <v>1</v>
      </c>
      <c r="AC21" s="10">
        <f t="shared" si="13"/>
        <v>0</v>
      </c>
      <c r="AD21" s="9"/>
    </row>
    <row r="22" spans="1:30" ht="15" x14ac:dyDescent="0.25">
      <c r="A22" s="119">
        <v>11</v>
      </c>
      <c r="B22" s="85">
        <f t="shared" si="2"/>
        <v>27</v>
      </c>
      <c r="C22" s="86" t="str">
        <f t="shared" si="3"/>
        <v>138075</v>
      </c>
      <c r="D22" s="87" t="str">
        <f t="shared" si="4"/>
        <v>0101</v>
      </c>
      <c r="E22" s="88" t="s">
        <v>63</v>
      </c>
      <c r="F22" s="101">
        <v>0</v>
      </c>
      <c r="G22" s="89" t="s">
        <v>191</v>
      </c>
      <c r="H22" s="93">
        <v>9</v>
      </c>
      <c r="I22" s="14" t="s">
        <v>190</v>
      </c>
      <c r="J22" s="14">
        <v>1</v>
      </c>
      <c r="K22" s="14">
        <v>0</v>
      </c>
      <c r="L22" s="14">
        <v>0</v>
      </c>
      <c r="M22" s="14">
        <v>1</v>
      </c>
      <c r="N22" s="20">
        <f t="shared" si="0"/>
        <v>2</v>
      </c>
      <c r="O22" s="18">
        <v>0</v>
      </c>
      <c r="P22" s="18">
        <v>1</v>
      </c>
      <c r="Q22" s="18">
        <v>1</v>
      </c>
      <c r="R22" s="18">
        <v>0</v>
      </c>
      <c r="S22" s="18">
        <v>1</v>
      </c>
      <c r="T22" s="19">
        <f t="shared" si="5"/>
        <v>3</v>
      </c>
      <c r="U22" s="83" t="str">
        <f t="shared" si="6"/>
        <v>ГР</v>
      </c>
      <c r="V22" s="83" t="str">
        <f t="shared" si="7"/>
        <v>-</v>
      </c>
      <c r="W22" s="120" t="str">
        <f t="shared" si="8"/>
        <v>завышено</v>
      </c>
      <c r="X22" s="51">
        <f t="shared" si="9"/>
        <v>2.25</v>
      </c>
      <c r="Y22" s="52">
        <f t="shared" si="10"/>
        <v>0.4</v>
      </c>
      <c r="Z22" s="52">
        <f t="shared" si="11"/>
        <v>0.45</v>
      </c>
      <c r="AA22" s="10" t="b">
        <f t="shared" si="1"/>
        <v>0</v>
      </c>
      <c r="AB22" s="10">
        <f t="shared" si="12"/>
        <v>1</v>
      </c>
      <c r="AC22" s="10">
        <f t="shared" si="13"/>
        <v>0</v>
      </c>
      <c r="AD22" s="9"/>
    </row>
    <row r="23" spans="1:30" ht="15" x14ac:dyDescent="0.25">
      <c r="A23" s="119">
        <v>12</v>
      </c>
      <c r="B23" s="85">
        <f t="shared" si="2"/>
        <v>27</v>
      </c>
      <c r="C23" s="86" t="str">
        <f t="shared" si="3"/>
        <v>138075</v>
      </c>
      <c r="D23" s="87" t="str">
        <f t="shared" si="4"/>
        <v>0101</v>
      </c>
      <c r="E23" s="88" t="s">
        <v>64</v>
      </c>
      <c r="F23" s="101">
        <v>1</v>
      </c>
      <c r="G23" s="89" t="s">
        <v>182</v>
      </c>
      <c r="H23" s="93">
        <v>53</v>
      </c>
      <c r="I23" s="14">
        <v>1</v>
      </c>
      <c r="J23" s="14">
        <v>0</v>
      </c>
      <c r="K23" s="14">
        <v>1</v>
      </c>
      <c r="L23" s="14">
        <v>0</v>
      </c>
      <c r="M23" s="14">
        <v>1</v>
      </c>
      <c r="N23" s="20">
        <f t="shared" si="0"/>
        <v>3</v>
      </c>
      <c r="O23" s="18">
        <v>0</v>
      </c>
      <c r="P23" s="18">
        <v>1</v>
      </c>
      <c r="Q23" s="18">
        <v>0</v>
      </c>
      <c r="R23" s="18">
        <v>1</v>
      </c>
      <c r="S23" s="18">
        <v>1</v>
      </c>
      <c r="T23" s="19">
        <f t="shared" si="5"/>
        <v>3</v>
      </c>
      <c r="U23" s="83" t="str">
        <f t="shared" si="6"/>
        <v>ГР</v>
      </c>
      <c r="V23" s="83" t="str">
        <f t="shared" si="7"/>
        <v>-</v>
      </c>
      <c r="W23" s="120" t="str">
        <f t="shared" si="8"/>
        <v>завышено</v>
      </c>
      <c r="X23" s="51">
        <f t="shared" si="9"/>
        <v>2.25</v>
      </c>
      <c r="Y23" s="52">
        <f t="shared" si="10"/>
        <v>0.6</v>
      </c>
      <c r="Z23" s="52">
        <f t="shared" si="11"/>
        <v>0.45</v>
      </c>
      <c r="AA23" s="10">
        <f t="shared" si="1"/>
        <v>2</v>
      </c>
      <c r="AB23" s="10">
        <f t="shared" si="12"/>
        <v>1</v>
      </c>
      <c r="AC23" s="10">
        <f t="shared" si="13"/>
        <v>0</v>
      </c>
      <c r="AD23" s="9"/>
    </row>
    <row r="24" spans="1:30" ht="15" x14ac:dyDescent="0.25">
      <c r="A24" s="119">
        <v>13</v>
      </c>
      <c r="B24" s="85">
        <f t="shared" si="2"/>
        <v>27</v>
      </c>
      <c r="C24" s="86" t="str">
        <f t="shared" si="3"/>
        <v>138075</v>
      </c>
      <c r="D24" s="87" t="str">
        <f t="shared" si="4"/>
        <v>0101</v>
      </c>
      <c r="E24" s="88" t="s">
        <v>65</v>
      </c>
      <c r="F24" s="101">
        <v>0</v>
      </c>
      <c r="G24" s="89" t="s">
        <v>191</v>
      </c>
      <c r="H24" s="93">
        <v>33</v>
      </c>
      <c r="I24" s="14">
        <v>0</v>
      </c>
      <c r="J24" s="14">
        <v>1</v>
      </c>
      <c r="K24" s="14">
        <v>0</v>
      </c>
      <c r="L24" s="14">
        <v>0</v>
      </c>
      <c r="M24" s="14">
        <v>0</v>
      </c>
      <c r="N24" s="20">
        <f t="shared" si="0"/>
        <v>1</v>
      </c>
      <c r="O24" s="18">
        <v>0</v>
      </c>
      <c r="P24" s="18">
        <v>1</v>
      </c>
      <c r="Q24" s="18">
        <v>0</v>
      </c>
      <c r="R24" s="18">
        <v>1</v>
      </c>
      <c r="S24" s="18">
        <v>0</v>
      </c>
      <c r="T24" s="19">
        <f t="shared" si="5"/>
        <v>2</v>
      </c>
      <c r="U24" s="83" t="str">
        <f t="shared" si="6"/>
        <v>ГР</v>
      </c>
      <c r="V24" s="83" t="str">
        <f t="shared" si="7"/>
        <v>-</v>
      </c>
      <c r="W24" s="120" t="str">
        <f t="shared" si="8"/>
        <v>завышено</v>
      </c>
      <c r="X24" s="51">
        <f t="shared" si="9"/>
        <v>2.25</v>
      </c>
      <c r="Y24" s="52">
        <f t="shared" si="10"/>
        <v>0.2</v>
      </c>
      <c r="Z24" s="52">
        <f t="shared" si="11"/>
        <v>0.45</v>
      </c>
      <c r="AA24" s="10" t="b">
        <f t="shared" si="1"/>
        <v>0</v>
      </c>
      <c r="AB24" s="10">
        <f t="shared" si="12"/>
        <v>1</v>
      </c>
      <c r="AC24" s="10">
        <f t="shared" si="13"/>
        <v>0</v>
      </c>
      <c r="AD24" s="9"/>
    </row>
    <row r="25" spans="1:30" ht="15" x14ac:dyDescent="0.25">
      <c r="A25" s="119">
        <v>14</v>
      </c>
      <c r="B25" s="85">
        <f t="shared" si="2"/>
        <v>27</v>
      </c>
      <c r="C25" s="86" t="str">
        <f t="shared" si="3"/>
        <v>138075</v>
      </c>
      <c r="D25" s="87" t="str">
        <f t="shared" si="4"/>
        <v>0101</v>
      </c>
      <c r="E25" s="88" t="s">
        <v>66</v>
      </c>
      <c r="F25" s="101" t="s">
        <v>186</v>
      </c>
      <c r="G25" s="89" t="s">
        <v>186</v>
      </c>
      <c r="H25" s="93" t="s">
        <v>186</v>
      </c>
      <c r="I25" s="14" t="s">
        <v>186</v>
      </c>
      <c r="J25" s="14" t="s">
        <v>186</v>
      </c>
      <c r="K25" s="14" t="s">
        <v>186</v>
      </c>
      <c r="L25" s="14" t="s">
        <v>186</v>
      </c>
      <c r="M25" s="14" t="s">
        <v>186</v>
      </c>
      <c r="N25" s="20">
        <f t="shared" si="0"/>
        <v>0</v>
      </c>
      <c r="O25" s="18" t="s">
        <v>186</v>
      </c>
      <c r="P25" s="18" t="s">
        <v>186</v>
      </c>
      <c r="Q25" s="18" t="s">
        <v>186</v>
      </c>
      <c r="R25" s="18" t="s">
        <v>186</v>
      </c>
      <c r="S25" s="18" t="s">
        <v>186</v>
      </c>
      <c r="T25" s="19">
        <f t="shared" si="5"/>
        <v>0</v>
      </c>
      <c r="U25" s="83" t="str">
        <f t="shared" si="6"/>
        <v>ГР</v>
      </c>
      <c r="V25" s="83" t="str">
        <f t="shared" si="7"/>
        <v>-</v>
      </c>
      <c r="W25" s="120" t="str">
        <f t="shared" si="8"/>
        <v>завышено</v>
      </c>
      <c r="X25" s="51">
        <f t="shared" si="9"/>
        <v>2.25</v>
      </c>
      <c r="Y25" s="52">
        <f t="shared" si="10"/>
        <v>0</v>
      </c>
      <c r="Z25" s="52">
        <f t="shared" si="11"/>
        <v>0.45</v>
      </c>
      <c r="AA25" s="10" t="b">
        <f t="shared" si="1"/>
        <v>0</v>
      </c>
      <c r="AB25" s="10">
        <f t="shared" si="12"/>
        <v>1</v>
      </c>
      <c r="AC25" s="10">
        <f t="shared" si="13"/>
        <v>0</v>
      </c>
      <c r="AD25" s="9"/>
    </row>
    <row r="26" spans="1:30" ht="15" x14ac:dyDescent="0.25">
      <c r="A26" s="119">
        <v>15</v>
      </c>
      <c r="B26" s="85">
        <f t="shared" si="2"/>
        <v>27</v>
      </c>
      <c r="C26" s="86" t="str">
        <f t="shared" si="3"/>
        <v>138075</v>
      </c>
      <c r="D26" s="87" t="str">
        <f t="shared" si="4"/>
        <v>0101</v>
      </c>
      <c r="E26" s="88" t="s">
        <v>67</v>
      </c>
      <c r="F26" s="101" t="s">
        <v>186</v>
      </c>
      <c r="G26" s="89" t="s">
        <v>186</v>
      </c>
      <c r="H26" s="93" t="s">
        <v>186</v>
      </c>
      <c r="I26" s="14" t="s">
        <v>186</v>
      </c>
      <c r="J26" s="14" t="s">
        <v>186</v>
      </c>
      <c r="K26" s="14" t="s">
        <v>186</v>
      </c>
      <c r="L26" s="14" t="s">
        <v>186</v>
      </c>
      <c r="M26" s="14" t="s">
        <v>186</v>
      </c>
      <c r="N26" s="20">
        <f t="shared" si="0"/>
        <v>0</v>
      </c>
      <c r="O26" s="18" t="s">
        <v>186</v>
      </c>
      <c r="P26" s="18" t="s">
        <v>186</v>
      </c>
      <c r="Q26" s="18" t="s">
        <v>186</v>
      </c>
      <c r="R26" s="18" t="s">
        <v>186</v>
      </c>
      <c r="S26" s="18">
        <v>1</v>
      </c>
      <c r="T26" s="19">
        <f t="shared" si="5"/>
        <v>1</v>
      </c>
      <c r="U26" s="83" t="str">
        <f t="shared" si="6"/>
        <v>ГР</v>
      </c>
      <c r="V26" s="83" t="str">
        <f t="shared" si="7"/>
        <v>-</v>
      </c>
      <c r="W26" s="120" t="str">
        <f t="shared" si="8"/>
        <v>завышено</v>
      </c>
      <c r="X26" s="51">
        <f t="shared" si="9"/>
        <v>2.25</v>
      </c>
      <c r="Y26" s="52">
        <f t="shared" si="10"/>
        <v>0</v>
      </c>
      <c r="Z26" s="52">
        <f t="shared" si="11"/>
        <v>0.45</v>
      </c>
      <c r="AA26" s="10" t="b">
        <f t="shared" si="1"/>
        <v>0</v>
      </c>
      <c r="AB26" s="10">
        <f t="shared" si="12"/>
        <v>1</v>
      </c>
      <c r="AC26" s="10">
        <f t="shared" si="13"/>
        <v>0</v>
      </c>
      <c r="AD26" s="9"/>
    </row>
    <row r="27" spans="1:30" ht="15" x14ac:dyDescent="0.25">
      <c r="A27" s="119">
        <v>16</v>
      </c>
      <c r="B27" s="85">
        <f t="shared" si="2"/>
        <v>27</v>
      </c>
      <c r="C27" s="86" t="str">
        <f t="shared" si="3"/>
        <v>138075</v>
      </c>
      <c r="D27" s="87" t="str">
        <f t="shared" si="4"/>
        <v>0101</v>
      </c>
      <c r="E27" s="88" t="s">
        <v>68</v>
      </c>
      <c r="F27" s="101">
        <v>0</v>
      </c>
      <c r="G27" s="89" t="s">
        <v>191</v>
      </c>
      <c r="H27" s="93">
        <v>36</v>
      </c>
      <c r="I27" s="14">
        <v>0</v>
      </c>
      <c r="J27" s="14">
        <v>0</v>
      </c>
      <c r="K27" s="14">
        <v>1</v>
      </c>
      <c r="L27" s="14">
        <v>0</v>
      </c>
      <c r="M27" s="14">
        <v>0</v>
      </c>
      <c r="N27" s="20">
        <f t="shared" si="0"/>
        <v>1</v>
      </c>
      <c r="O27" s="18">
        <v>0</v>
      </c>
      <c r="P27" s="18">
        <v>1</v>
      </c>
      <c r="Q27" s="18">
        <v>0</v>
      </c>
      <c r="R27" s="18">
        <v>0</v>
      </c>
      <c r="S27" s="18">
        <v>0</v>
      </c>
      <c r="T27" s="19">
        <f t="shared" si="5"/>
        <v>1</v>
      </c>
      <c r="U27" s="83" t="str">
        <f t="shared" si="6"/>
        <v>ГР</v>
      </c>
      <c r="V27" s="83" t="str">
        <f t="shared" si="7"/>
        <v>-</v>
      </c>
      <c r="W27" s="120" t="str">
        <f t="shared" si="8"/>
        <v>завышено</v>
      </c>
      <c r="X27" s="51">
        <f t="shared" si="9"/>
        <v>2.25</v>
      </c>
      <c r="Y27" s="52">
        <f t="shared" si="10"/>
        <v>0.2</v>
      </c>
      <c r="Z27" s="52">
        <f t="shared" si="11"/>
        <v>0.45</v>
      </c>
      <c r="AA27" s="10" t="b">
        <f t="shared" si="1"/>
        <v>0</v>
      </c>
      <c r="AB27" s="10">
        <f t="shared" si="12"/>
        <v>1</v>
      </c>
      <c r="AC27" s="10">
        <f t="shared" si="13"/>
        <v>0</v>
      </c>
      <c r="AD27" s="9"/>
    </row>
    <row r="28" spans="1:30" ht="15" x14ac:dyDescent="0.25">
      <c r="A28" s="119">
        <v>17</v>
      </c>
      <c r="B28" s="85">
        <f t="shared" si="2"/>
        <v>27</v>
      </c>
      <c r="C28" s="86" t="str">
        <f t="shared" si="3"/>
        <v>138075</v>
      </c>
      <c r="D28" s="87" t="str">
        <f t="shared" si="4"/>
        <v>0101</v>
      </c>
      <c r="E28" s="88" t="s">
        <v>69</v>
      </c>
      <c r="F28" s="101" t="s">
        <v>186</v>
      </c>
      <c r="G28" s="89" t="s">
        <v>186</v>
      </c>
      <c r="H28" s="93" t="s">
        <v>186</v>
      </c>
      <c r="I28" s="14" t="s">
        <v>186</v>
      </c>
      <c r="J28" s="14" t="s">
        <v>186</v>
      </c>
      <c r="K28" s="14" t="s">
        <v>186</v>
      </c>
      <c r="L28" s="14" t="s">
        <v>186</v>
      </c>
      <c r="M28" s="14" t="s">
        <v>186</v>
      </c>
      <c r="N28" s="20">
        <f t="shared" si="0"/>
        <v>0</v>
      </c>
      <c r="O28" s="18" t="s">
        <v>186</v>
      </c>
      <c r="P28" s="18" t="s">
        <v>186</v>
      </c>
      <c r="Q28" s="18" t="s">
        <v>186</v>
      </c>
      <c r="R28" s="18" t="s">
        <v>186</v>
      </c>
      <c r="S28" s="18" t="s">
        <v>186</v>
      </c>
      <c r="T28" s="19">
        <f t="shared" si="5"/>
        <v>0</v>
      </c>
      <c r="U28" s="83" t="str">
        <f t="shared" si="6"/>
        <v>ГР</v>
      </c>
      <c r="V28" s="83" t="str">
        <f t="shared" si="7"/>
        <v>-</v>
      </c>
      <c r="W28" s="120" t="str">
        <f t="shared" si="8"/>
        <v>завышено</v>
      </c>
      <c r="X28" s="51">
        <f t="shared" si="9"/>
        <v>2.25</v>
      </c>
      <c r="Y28" s="52">
        <f t="shared" si="10"/>
        <v>0</v>
      </c>
      <c r="Z28" s="52">
        <f t="shared" si="11"/>
        <v>0.45</v>
      </c>
      <c r="AA28" s="10" t="b">
        <f t="shared" si="1"/>
        <v>0</v>
      </c>
      <c r="AB28" s="10">
        <f t="shared" si="12"/>
        <v>1</v>
      </c>
      <c r="AC28" s="10">
        <f t="shared" si="13"/>
        <v>0</v>
      </c>
      <c r="AD28" s="9"/>
    </row>
    <row r="29" spans="1:30" ht="15" x14ac:dyDescent="0.25">
      <c r="A29" s="119">
        <v>18</v>
      </c>
      <c r="B29" s="85">
        <f t="shared" si="2"/>
        <v>27</v>
      </c>
      <c r="C29" s="86" t="str">
        <f t="shared" si="3"/>
        <v>138075</v>
      </c>
      <c r="D29" s="87" t="str">
        <f t="shared" si="4"/>
        <v>0101</v>
      </c>
      <c r="E29" s="88" t="s">
        <v>70</v>
      </c>
      <c r="F29" s="101">
        <v>0</v>
      </c>
      <c r="G29" s="89" t="s">
        <v>183</v>
      </c>
      <c r="H29" s="93">
        <v>43</v>
      </c>
      <c r="I29" s="14">
        <v>1</v>
      </c>
      <c r="J29" s="14">
        <v>1</v>
      </c>
      <c r="K29" s="14">
        <v>0</v>
      </c>
      <c r="L29" s="14">
        <v>0</v>
      </c>
      <c r="M29" s="14">
        <v>1</v>
      </c>
      <c r="N29" s="20">
        <f t="shared" si="0"/>
        <v>3</v>
      </c>
      <c r="O29" s="18">
        <v>0</v>
      </c>
      <c r="P29" s="18">
        <v>1</v>
      </c>
      <c r="Q29" s="18">
        <v>1</v>
      </c>
      <c r="R29" s="18">
        <v>0</v>
      </c>
      <c r="S29" s="18">
        <v>1</v>
      </c>
      <c r="T29" s="19">
        <f t="shared" si="5"/>
        <v>3</v>
      </c>
      <c r="U29" s="83" t="str">
        <f t="shared" si="6"/>
        <v>ГР</v>
      </c>
      <c r="V29" s="83" t="str">
        <f t="shared" si="7"/>
        <v>-</v>
      </c>
      <c r="W29" s="120" t="str">
        <f t="shared" si="8"/>
        <v>совпадение</v>
      </c>
      <c r="X29" s="51">
        <f t="shared" si="9"/>
        <v>2.25</v>
      </c>
      <c r="Y29" s="52">
        <f t="shared" si="10"/>
        <v>0.6</v>
      </c>
      <c r="Z29" s="52">
        <f t="shared" si="11"/>
        <v>0.45</v>
      </c>
      <c r="AA29" s="10">
        <f t="shared" si="1"/>
        <v>1</v>
      </c>
      <c r="AB29" s="10">
        <f t="shared" si="12"/>
        <v>1</v>
      </c>
      <c r="AC29" s="10">
        <f t="shared" si="13"/>
        <v>0</v>
      </c>
      <c r="AD29" s="9"/>
    </row>
    <row r="30" spans="1:30" ht="15" x14ac:dyDescent="0.25">
      <c r="A30" s="119">
        <v>19</v>
      </c>
      <c r="B30" s="85">
        <f t="shared" si="2"/>
        <v>27</v>
      </c>
      <c r="C30" s="86" t="str">
        <f t="shared" si="3"/>
        <v>138075</v>
      </c>
      <c r="D30" s="87" t="str">
        <f t="shared" si="4"/>
        <v>0101</v>
      </c>
      <c r="E30" s="88" t="s">
        <v>71</v>
      </c>
      <c r="F30" s="101">
        <v>0</v>
      </c>
      <c r="G30" s="89" t="s">
        <v>191</v>
      </c>
      <c r="H30" s="93">
        <v>32</v>
      </c>
      <c r="I30" s="14">
        <v>0</v>
      </c>
      <c r="J30" s="14">
        <v>0</v>
      </c>
      <c r="K30" s="14">
        <v>1</v>
      </c>
      <c r="L30" s="14">
        <v>1</v>
      </c>
      <c r="M30" s="14">
        <v>0</v>
      </c>
      <c r="N30" s="20">
        <f t="shared" si="0"/>
        <v>2</v>
      </c>
      <c r="O30" s="18">
        <v>0</v>
      </c>
      <c r="P30" s="18">
        <v>1</v>
      </c>
      <c r="Q30" s="18">
        <v>1</v>
      </c>
      <c r="R30" s="18">
        <v>1</v>
      </c>
      <c r="S30" s="18">
        <v>1</v>
      </c>
      <c r="T30" s="19">
        <f t="shared" si="5"/>
        <v>4</v>
      </c>
      <c r="U30" s="83" t="str">
        <f t="shared" si="6"/>
        <v>ГР</v>
      </c>
      <c r="V30" s="83" t="str">
        <f t="shared" si="7"/>
        <v>-</v>
      </c>
      <c r="W30" s="120" t="str">
        <f t="shared" si="8"/>
        <v>завышено</v>
      </c>
      <c r="X30" s="51">
        <f t="shared" si="9"/>
        <v>2.25</v>
      </c>
      <c r="Y30" s="52">
        <f t="shared" si="10"/>
        <v>0.4</v>
      </c>
      <c r="Z30" s="52">
        <f t="shared" si="11"/>
        <v>0.45</v>
      </c>
      <c r="AA30" s="10" t="b">
        <f t="shared" si="1"/>
        <v>0</v>
      </c>
      <c r="AB30" s="10">
        <f t="shared" si="12"/>
        <v>1</v>
      </c>
      <c r="AC30" s="10">
        <f t="shared" si="13"/>
        <v>0</v>
      </c>
      <c r="AD30" s="9"/>
    </row>
    <row r="31" spans="1:30" ht="15" x14ac:dyDescent="0.25">
      <c r="A31" s="119">
        <v>20</v>
      </c>
      <c r="B31" s="85">
        <f t="shared" si="2"/>
        <v>27</v>
      </c>
      <c r="C31" s="86" t="str">
        <f t="shared" si="3"/>
        <v>138075</v>
      </c>
      <c r="D31" s="87" t="str">
        <f t="shared" si="4"/>
        <v>0101</v>
      </c>
      <c r="E31" s="88" t="s">
        <v>72</v>
      </c>
      <c r="F31" s="101">
        <v>1</v>
      </c>
      <c r="G31" s="89" t="s">
        <v>182</v>
      </c>
      <c r="H31" s="93">
        <v>48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20">
        <f t="shared" si="0"/>
        <v>5</v>
      </c>
      <c r="O31" s="18">
        <v>0</v>
      </c>
      <c r="P31" s="18">
        <v>1</v>
      </c>
      <c r="Q31" s="18">
        <v>1</v>
      </c>
      <c r="R31" s="18">
        <v>1</v>
      </c>
      <c r="S31" s="18">
        <v>1</v>
      </c>
      <c r="T31" s="19">
        <f t="shared" si="5"/>
        <v>4</v>
      </c>
      <c r="U31" s="83" t="str">
        <f t="shared" si="6"/>
        <v>БУ</v>
      </c>
      <c r="V31" s="83" t="str">
        <f t="shared" si="7"/>
        <v>достиг</v>
      </c>
      <c r="W31" s="120" t="str">
        <f t="shared" si="8"/>
        <v>совпадение</v>
      </c>
      <c r="X31" s="51">
        <f t="shared" si="9"/>
        <v>2.25</v>
      </c>
      <c r="Y31" s="52">
        <f t="shared" si="10"/>
        <v>1</v>
      </c>
      <c r="Z31" s="52">
        <f t="shared" si="11"/>
        <v>0.45</v>
      </c>
      <c r="AA31" s="10">
        <f t="shared" si="1"/>
        <v>2</v>
      </c>
      <c r="AB31" s="10">
        <f t="shared" si="12"/>
        <v>2</v>
      </c>
      <c r="AC31" s="10">
        <f t="shared" si="13"/>
        <v>0</v>
      </c>
      <c r="AD31" s="9"/>
    </row>
    <row r="32" spans="1:30" ht="15" x14ac:dyDescent="0.25">
      <c r="A32" s="119">
        <v>21</v>
      </c>
      <c r="B32" s="85">
        <f t="shared" si="2"/>
        <v>27</v>
      </c>
      <c r="C32" s="86" t="str">
        <f t="shared" si="3"/>
        <v>138075</v>
      </c>
      <c r="D32" s="87" t="str">
        <f t="shared" si="4"/>
        <v>0101</v>
      </c>
      <c r="E32" s="88" t="s">
        <v>73</v>
      </c>
      <c r="F32" s="101">
        <v>0</v>
      </c>
      <c r="G32" s="89" t="s">
        <v>191</v>
      </c>
      <c r="H32" s="93">
        <v>25</v>
      </c>
      <c r="I32" s="14">
        <v>1</v>
      </c>
      <c r="J32" s="14">
        <v>1</v>
      </c>
      <c r="K32" s="14">
        <v>0</v>
      </c>
      <c r="L32" s="14">
        <v>0</v>
      </c>
      <c r="M32" s="14">
        <v>0</v>
      </c>
      <c r="N32" s="20">
        <f t="shared" si="0"/>
        <v>2</v>
      </c>
      <c r="O32" s="18">
        <v>0</v>
      </c>
      <c r="P32" s="18">
        <v>1</v>
      </c>
      <c r="Q32" s="18">
        <v>1</v>
      </c>
      <c r="R32" s="18">
        <v>1</v>
      </c>
      <c r="S32" s="18" t="s">
        <v>190</v>
      </c>
      <c r="T32" s="19">
        <f t="shared" si="5"/>
        <v>3</v>
      </c>
      <c r="U32" s="83" t="str">
        <f t="shared" si="6"/>
        <v>ГР</v>
      </c>
      <c r="V32" s="83" t="str">
        <f t="shared" si="7"/>
        <v>-</v>
      </c>
      <c r="W32" s="120" t="str">
        <f t="shared" si="8"/>
        <v>завышено</v>
      </c>
      <c r="X32" s="51">
        <f t="shared" si="9"/>
        <v>2.25</v>
      </c>
      <c r="Y32" s="52">
        <f t="shared" si="10"/>
        <v>0.4</v>
      </c>
      <c r="Z32" s="52">
        <f t="shared" si="11"/>
        <v>0.45</v>
      </c>
      <c r="AA32" s="10" t="b">
        <f t="shared" si="1"/>
        <v>0</v>
      </c>
      <c r="AB32" s="10">
        <f t="shared" si="12"/>
        <v>1</v>
      </c>
      <c r="AC32" s="10">
        <f t="shared" si="13"/>
        <v>0</v>
      </c>
      <c r="AD32" s="9"/>
    </row>
    <row r="33" spans="1:30" ht="15" x14ac:dyDescent="0.25">
      <c r="A33" s="119">
        <v>22</v>
      </c>
      <c r="B33" s="85"/>
      <c r="C33" s="86"/>
      <c r="D33" s="87"/>
      <c r="E33" s="88"/>
      <c r="F33" s="101"/>
      <c r="G33" s="89"/>
      <c r="H33" s="93"/>
      <c r="I33" s="14"/>
      <c r="J33" s="14"/>
      <c r="K33" s="14"/>
      <c r="L33" s="14"/>
      <c r="M33" s="14"/>
      <c r="N33" s="20">
        <f t="shared" si="0"/>
        <v>0</v>
      </c>
      <c r="O33" s="18"/>
      <c r="P33" s="18"/>
      <c r="Q33" s="18"/>
      <c r="R33" s="18"/>
      <c r="S33" s="18"/>
      <c r="T33" s="19">
        <f t="shared" si="5"/>
        <v>0</v>
      </c>
      <c r="U33" s="83"/>
      <c r="V33" s="83"/>
      <c r="W33" s="120"/>
      <c r="X33" s="51">
        <f t="shared" si="9"/>
        <v>2.25</v>
      </c>
      <c r="Y33" s="52">
        <f t="shared" si="10"/>
        <v>0</v>
      </c>
      <c r="Z33" s="52">
        <f t="shared" si="11"/>
        <v>0.45</v>
      </c>
      <c r="AA33" s="10" t="b">
        <f t="shared" si="1"/>
        <v>0</v>
      </c>
      <c r="AB33" s="10" t="b">
        <f t="shared" si="12"/>
        <v>0</v>
      </c>
      <c r="AC33" s="10">
        <f t="shared" si="13"/>
        <v>0</v>
      </c>
      <c r="AD33" s="9"/>
    </row>
    <row r="34" spans="1:30" ht="15" x14ac:dyDescent="0.25">
      <c r="A34" s="119">
        <v>23</v>
      </c>
      <c r="B34" s="85"/>
      <c r="C34" s="86"/>
      <c r="D34" s="87"/>
      <c r="E34" s="106"/>
      <c r="F34" s="101"/>
      <c r="G34" s="89"/>
      <c r="H34" s="93"/>
      <c r="I34" s="14"/>
      <c r="J34" s="14"/>
      <c r="K34" s="14"/>
      <c r="L34" s="14"/>
      <c r="M34" s="14"/>
      <c r="N34" s="20">
        <f t="shared" si="0"/>
        <v>0</v>
      </c>
      <c r="O34" s="18"/>
      <c r="P34" s="18"/>
      <c r="Q34" s="18"/>
      <c r="R34" s="18"/>
      <c r="S34" s="18"/>
      <c r="T34" s="19">
        <f t="shared" si="5"/>
        <v>0</v>
      </c>
      <c r="U34" s="138"/>
      <c r="V34" s="83"/>
      <c r="W34" s="120"/>
      <c r="X34" s="51">
        <f t="shared" si="9"/>
        <v>2.25</v>
      </c>
      <c r="Y34" s="52">
        <f t="shared" si="10"/>
        <v>0</v>
      </c>
      <c r="Z34" s="52">
        <f t="shared" si="11"/>
        <v>0.45</v>
      </c>
      <c r="AA34" s="10" t="b">
        <f t="shared" si="1"/>
        <v>0</v>
      </c>
      <c r="AB34" s="10" t="b">
        <f t="shared" si="12"/>
        <v>0</v>
      </c>
      <c r="AC34" s="10">
        <f t="shared" si="13"/>
        <v>0</v>
      </c>
      <c r="AD34" s="9"/>
    </row>
    <row r="35" spans="1:30" ht="15" x14ac:dyDescent="0.25">
      <c r="A35" s="119">
        <v>24</v>
      </c>
      <c r="B35" s="85"/>
      <c r="C35" s="86"/>
      <c r="D35" s="87"/>
      <c r="E35" s="106"/>
      <c r="F35" s="101"/>
      <c r="G35" s="89"/>
      <c r="H35" s="93"/>
      <c r="I35" s="14"/>
      <c r="J35" s="14"/>
      <c r="K35" s="14"/>
      <c r="L35" s="14"/>
      <c r="M35" s="14"/>
      <c r="N35" s="20">
        <f t="shared" si="0"/>
        <v>0</v>
      </c>
      <c r="O35" s="18"/>
      <c r="P35" s="18"/>
      <c r="Q35" s="18"/>
      <c r="R35" s="18"/>
      <c r="S35" s="18"/>
      <c r="T35" s="19">
        <f t="shared" si="5"/>
        <v>0</v>
      </c>
      <c r="U35" s="138"/>
      <c r="V35" s="83"/>
      <c r="W35" s="120"/>
      <c r="X35" s="51">
        <f t="shared" si="9"/>
        <v>2.25</v>
      </c>
      <c r="Y35" s="52">
        <f t="shared" si="10"/>
        <v>0</v>
      </c>
      <c r="Z35" s="52">
        <f t="shared" si="11"/>
        <v>0.45</v>
      </c>
      <c r="AA35" s="10" t="b">
        <f t="shared" si="1"/>
        <v>0</v>
      </c>
      <c r="AB35" s="10" t="b">
        <f t="shared" si="12"/>
        <v>0</v>
      </c>
      <c r="AC35" s="10">
        <f t="shared" si="13"/>
        <v>0</v>
      </c>
      <c r="AD35" s="9"/>
    </row>
    <row r="36" spans="1:30" ht="15" x14ac:dyDescent="0.25">
      <c r="A36" s="119">
        <v>25</v>
      </c>
      <c r="B36" s="85"/>
      <c r="C36" s="86"/>
      <c r="D36" s="87"/>
      <c r="E36" s="106"/>
      <c r="F36" s="101"/>
      <c r="G36" s="89"/>
      <c r="H36" s="93"/>
      <c r="I36" s="14"/>
      <c r="J36" s="14"/>
      <c r="K36" s="14"/>
      <c r="L36" s="14"/>
      <c r="M36" s="14"/>
      <c r="N36" s="20">
        <f t="shared" si="0"/>
        <v>0</v>
      </c>
      <c r="O36" s="18"/>
      <c r="P36" s="18"/>
      <c r="Q36" s="18"/>
      <c r="R36" s="18"/>
      <c r="S36" s="18"/>
      <c r="T36" s="19">
        <f t="shared" si="5"/>
        <v>0</v>
      </c>
      <c r="U36" s="138"/>
      <c r="V36" s="83"/>
      <c r="W36" s="120"/>
      <c r="X36" s="51">
        <f t="shared" si="9"/>
        <v>2.25</v>
      </c>
      <c r="Y36" s="52">
        <f t="shared" si="10"/>
        <v>0</v>
      </c>
      <c r="Z36" s="52">
        <f t="shared" si="11"/>
        <v>0.45</v>
      </c>
      <c r="AA36" s="10" t="b">
        <f t="shared" si="1"/>
        <v>0</v>
      </c>
      <c r="AB36" s="10" t="b">
        <f t="shared" si="12"/>
        <v>0</v>
      </c>
      <c r="AC36" s="10">
        <f t="shared" si="13"/>
        <v>0</v>
      </c>
      <c r="AD36" s="9"/>
    </row>
    <row r="37" spans="1:30" ht="15" x14ac:dyDescent="0.25">
      <c r="A37" s="119">
        <v>26</v>
      </c>
      <c r="B37" s="85"/>
      <c r="C37" s="86"/>
      <c r="D37" s="87"/>
      <c r="E37" s="106"/>
      <c r="F37" s="101"/>
      <c r="G37" s="89"/>
      <c r="H37" s="93"/>
      <c r="I37" s="14"/>
      <c r="J37" s="14"/>
      <c r="K37" s="14"/>
      <c r="L37" s="14"/>
      <c r="M37" s="14"/>
      <c r="N37" s="20">
        <f t="shared" si="0"/>
        <v>0</v>
      </c>
      <c r="O37" s="18"/>
      <c r="P37" s="18"/>
      <c r="Q37" s="18"/>
      <c r="R37" s="18"/>
      <c r="S37" s="18"/>
      <c r="T37" s="19">
        <f t="shared" si="5"/>
        <v>0</v>
      </c>
      <c r="U37" s="138"/>
      <c r="V37" s="83"/>
      <c r="W37" s="139"/>
      <c r="X37" s="51">
        <f t="shared" si="9"/>
        <v>2.25</v>
      </c>
      <c r="Y37" s="52">
        <f t="shared" si="10"/>
        <v>0</v>
      </c>
      <c r="Z37" s="52">
        <f t="shared" si="11"/>
        <v>0.45</v>
      </c>
      <c r="AA37" s="10" t="b">
        <f t="shared" si="1"/>
        <v>0</v>
      </c>
      <c r="AB37" s="10" t="b">
        <f t="shared" si="12"/>
        <v>0</v>
      </c>
      <c r="AC37" s="10">
        <f t="shared" si="13"/>
        <v>0</v>
      </c>
      <c r="AD37" s="9"/>
    </row>
    <row r="38" spans="1:30" ht="15" x14ac:dyDescent="0.25">
      <c r="A38" s="119">
        <v>27</v>
      </c>
      <c r="B38" s="85"/>
      <c r="C38" s="86"/>
      <c r="D38" s="87"/>
      <c r="E38" s="106"/>
      <c r="F38" s="101"/>
      <c r="G38" s="89"/>
      <c r="H38" s="93"/>
      <c r="I38" s="14"/>
      <c r="J38" s="14"/>
      <c r="K38" s="14"/>
      <c r="L38" s="14"/>
      <c r="M38" s="14"/>
      <c r="N38" s="20">
        <f t="shared" si="0"/>
        <v>0</v>
      </c>
      <c r="O38" s="18"/>
      <c r="P38" s="18"/>
      <c r="Q38" s="18"/>
      <c r="R38" s="18"/>
      <c r="S38" s="18"/>
      <c r="T38" s="19">
        <f t="shared" si="5"/>
        <v>0</v>
      </c>
      <c r="U38" s="138"/>
      <c r="V38" s="83"/>
      <c r="W38" s="120"/>
      <c r="X38" s="51">
        <f t="shared" si="9"/>
        <v>2.25</v>
      </c>
      <c r="Y38" s="52">
        <f t="shared" si="10"/>
        <v>0</v>
      </c>
      <c r="Z38" s="52">
        <f t="shared" si="11"/>
        <v>0.45</v>
      </c>
      <c r="AA38" s="10" t="b">
        <f t="shared" si="1"/>
        <v>0</v>
      </c>
      <c r="AB38" s="10" t="b">
        <f t="shared" si="12"/>
        <v>0</v>
      </c>
      <c r="AC38" s="10">
        <f t="shared" si="13"/>
        <v>0</v>
      </c>
      <c r="AD38" s="9"/>
    </row>
    <row r="39" spans="1:30" ht="15" x14ac:dyDescent="0.25">
      <c r="A39" s="119">
        <v>28</v>
      </c>
      <c r="B39" s="85"/>
      <c r="C39" s="86"/>
      <c r="D39" s="87"/>
      <c r="E39" s="106"/>
      <c r="F39" s="101"/>
      <c r="G39" s="89"/>
      <c r="H39" s="93"/>
      <c r="I39" s="14"/>
      <c r="J39" s="14"/>
      <c r="K39" s="14"/>
      <c r="L39" s="14"/>
      <c r="M39" s="14"/>
      <c r="N39" s="20">
        <f t="shared" si="0"/>
        <v>0</v>
      </c>
      <c r="O39" s="18"/>
      <c r="P39" s="18"/>
      <c r="Q39" s="18"/>
      <c r="R39" s="18"/>
      <c r="S39" s="18"/>
      <c r="T39" s="19">
        <f t="shared" si="5"/>
        <v>0</v>
      </c>
      <c r="U39" s="138"/>
      <c r="V39" s="83"/>
      <c r="W39" s="120"/>
      <c r="X39" s="51">
        <f t="shared" si="9"/>
        <v>2.25</v>
      </c>
      <c r="Y39" s="52">
        <f t="shared" si="10"/>
        <v>0</v>
      </c>
      <c r="Z39" s="52">
        <f t="shared" si="11"/>
        <v>0.45</v>
      </c>
      <c r="AA39" s="10" t="b">
        <f t="shared" si="1"/>
        <v>0</v>
      </c>
      <c r="AB39" s="10" t="b">
        <f t="shared" si="12"/>
        <v>0</v>
      </c>
      <c r="AC39" s="10">
        <f t="shared" si="13"/>
        <v>0</v>
      </c>
      <c r="AD39" s="9"/>
    </row>
    <row r="40" spans="1:30" ht="15" x14ac:dyDescent="0.25">
      <c r="A40" s="119">
        <v>29</v>
      </c>
      <c r="B40" s="85"/>
      <c r="C40" s="86"/>
      <c r="D40" s="87"/>
      <c r="E40" s="88"/>
      <c r="F40" s="101"/>
      <c r="G40" s="89"/>
      <c r="H40" s="93"/>
      <c r="I40" s="14"/>
      <c r="J40" s="14"/>
      <c r="K40" s="14"/>
      <c r="L40" s="14"/>
      <c r="M40" s="14"/>
      <c r="N40" s="20">
        <f t="shared" si="0"/>
        <v>0</v>
      </c>
      <c r="O40" s="18"/>
      <c r="P40" s="18"/>
      <c r="Q40" s="18"/>
      <c r="R40" s="18"/>
      <c r="S40" s="18"/>
      <c r="T40" s="19">
        <f t="shared" si="5"/>
        <v>0</v>
      </c>
      <c r="U40" s="83"/>
      <c r="V40" s="83"/>
      <c r="W40" s="120"/>
      <c r="X40" s="51">
        <f t="shared" si="9"/>
        <v>2.25</v>
      </c>
      <c r="Y40" s="52">
        <f t="shared" si="10"/>
        <v>0</v>
      </c>
      <c r="Z40" s="52">
        <f t="shared" si="11"/>
        <v>0.45</v>
      </c>
      <c r="AA40" s="10" t="b">
        <f t="shared" si="1"/>
        <v>0</v>
      </c>
      <c r="AB40" s="10" t="b">
        <f t="shared" si="12"/>
        <v>0</v>
      </c>
      <c r="AC40" s="10">
        <f t="shared" si="13"/>
        <v>0</v>
      </c>
      <c r="AD40" s="9"/>
    </row>
    <row r="41" spans="1:30" ht="15" x14ac:dyDescent="0.25">
      <c r="A41" s="119">
        <v>30</v>
      </c>
      <c r="B41" s="85"/>
      <c r="C41" s="86"/>
      <c r="D41" s="87"/>
      <c r="E41" s="88"/>
      <c r="F41" s="101"/>
      <c r="G41" s="89"/>
      <c r="H41" s="93"/>
      <c r="I41" s="14"/>
      <c r="J41" s="14"/>
      <c r="K41" s="14"/>
      <c r="L41" s="14"/>
      <c r="M41" s="14"/>
      <c r="N41" s="20">
        <f t="shared" si="0"/>
        <v>0</v>
      </c>
      <c r="O41" s="18"/>
      <c r="P41" s="18"/>
      <c r="Q41" s="18"/>
      <c r="R41" s="18"/>
      <c r="S41" s="18"/>
      <c r="T41" s="19">
        <f t="shared" si="5"/>
        <v>0</v>
      </c>
      <c r="U41" s="83"/>
      <c r="V41" s="83"/>
      <c r="W41" s="120"/>
      <c r="X41" s="51">
        <f t="shared" si="9"/>
        <v>2.25</v>
      </c>
      <c r="Y41" s="52">
        <f t="shared" si="10"/>
        <v>0</v>
      </c>
      <c r="Z41" s="52">
        <f t="shared" si="11"/>
        <v>0.45</v>
      </c>
      <c r="AA41" s="10" t="b">
        <f t="shared" si="1"/>
        <v>0</v>
      </c>
      <c r="AB41" s="10" t="b">
        <f t="shared" si="12"/>
        <v>0</v>
      </c>
      <c r="AC41" s="10">
        <f t="shared" si="13"/>
        <v>0</v>
      </c>
      <c r="AD41" s="9"/>
    </row>
    <row r="42" spans="1:30" ht="15" x14ac:dyDescent="0.25">
      <c r="A42" s="119">
        <v>31</v>
      </c>
      <c r="B42" s="85"/>
      <c r="C42" s="86"/>
      <c r="D42" s="87"/>
      <c r="E42" s="88"/>
      <c r="F42" s="101"/>
      <c r="G42" s="89"/>
      <c r="H42" s="93"/>
      <c r="I42" s="14"/>
      <c r="J42" s="14"/>
      <c r="K42" s="14"/>
      <c r="L42" s="14"/>
      <c r="M42" s="14"/>
      <c r="N42" s="20">
        <f t="shared" si="0"/>
        <v>0</v>
      </c>
      <c r="O42" s="18"/>
      <c r="P42" s="18"/>
      <c r="Q42" s="18"/>
      <c r="R42" s="18"/>
      <c r="S42" s="18"/>
      <c r="T42" s="19">
        <f t="shared" si="5"/>
        <v>0</v>
      </c>
      <c r="U42" s="83"/>
      <c r="V42" s="83"/>
      <c r="W42" s="120"/>
      <c r="X42" s="51">
        <f t="shared" si="9"/>
        <v>2.25</v>
      </c>
      <c r="Y42" s="52">
        <f t="shared" si="10"/>
        <v>0</v>
      </c>
      <c r="Z42" s="52">
        <f t="shared" si="11"/>
        <v>0.45</v>
      </c>
      <c r="AA42" s="10" t="b">
        <f t="shared" si="1"/>
        <v>0</v>
      </c>
      <c r="AB42" s="10" t="b">
        <f t="shared" si="12"/>
        <v>0</v>
      </c>
      <c r="AC42" s="10">
        <f t="shared" si="13"/>
        <v>0</v>
      </c>
      <c r="AD42" s="9"/>
    </row>
    <row r="43" spans="1:30" ht="15" x14ac:dyDescent="0.25">
      <c r="A43" s="119">
        <v>32</v>
      </c>
      <c r="B43" s="85"/>
      <c r="C43" s="86"/>
      <c r="D43" s="87"/>
      <c r="E43" s="88"/>
      <c r="F43" s="101"/>
      <c r="G43" s="89"/>
      <c r="H43" s="93"/>
      <c r="I43" s="14"/>
      <c r="J43" s="14"/>
      <c r="K43" s="14"/>
      <c r="L43" s="14"/>
      <c r="M43" s="14"/>
      <c r="N43" s="20">
        <f t="shared" si="0"/>
        <v>0</v>
      </c>
      <c r="O43" s="18"/>
      <c r="P43" s="18"/>
      <c r="Q43" s="18"/>
      <c r="R43" s="18"/>
      <c r="S43" s="18"/>
      <c r="T43" s="19">
        <f t="shared" si="5"/>
        <v>0</v>
      </c>
      <c r="U43" s="83"/>
      <c r="V43" s="83"/>
      <c r="W43" s="120"/>
      <c r="X43" s="51">
        <f t="shared" si="9"/>
        <v>2.25</v>
      </c>
      <c r="Y43" s="52">
        <f t="shared" si="10"/>
        <v>0</v>
      </c>
      <c r="Z43" s="52">
        <f t="shared" si="11"/>
        <v>0.45</v>
      </c>
      <c r="AA43" s="10" t="b">
        <f t="shared" si="1"/>
        <v>0</v>
      </c>
      <c r="AB43" s="10" t="b">
        <f t="shared" si="12"/>
        <v>0</v>
      </c>
      <c r="AC43" s="10">
        <f t="shared" si="13"/>
        <v>0</v>
      </c>
      <c r="AD43" s="9"/>
    </row>
    <row r="44" spans="1:30" ht="15" x14ac:dyDescent="0.25">
      <c r="A44" s="119">
        <v>33</v>
      </c>
      <c r="B44" s="85"/>
      <c r="C44" s="86"/>
      <c r="D44" s="87"/>
      <c r="E44" s="88"/>
      <c r="F44" s="101"/>
      <c r="G44" s="89"/>
      <c r="H44" s="93"/>
      <c r="I44" s="14"/>
      <c r="J44" s="14"/>
      <c r="K44" s="14"/>
      <c r="L44" s="14"/>
      <c r="M44" s="14"/>
      <c r="N44" s="20">
        <f>SUM(I44:M44)</f>
        <v>0</v>
      </c>
      <c r="O44" s="18"/>
      <c r="P44" s="18"/>
      <c r="Q44" s="18"/>
      <c r="R44" s="18"/>
      <c r="S44" s="18"/>
      <c r="T44" s="19">
        <f t="shared" si="5"/>
        <v>0</v>
      </c>
      <c r="U44" s="83"/>
      <c r="V44" s="83"/>
      <c r="W44" s="120"/>
      <c r="X44" s="51">
        <f t="shared" si="9"/>
        <v>2.25</v>
      </c>
      <c r="Y44" s="52">
        <f>N44/5</f>
        <v>0</v>
      </c>
      <c r="Z44" s="52">
        <f t="shared" si="11"/>
        <v>0.45</v>
      </c>
      <c r="AA44" s="10" t="b">
        <f t="shared" si="1"/>
        <v>0</v>
      </c>
      <c r="AB44" s="10" t="b">
        <f t="shared" si="12"/>
        <v>0</v>
      </c>
      <c r="AC44" s="10">
        <f t="shared" si="13"/>
        <v>0</v>
      </c>
      <c r="AD44" s="9"/>
    </row>
    <row r="45" spans="1:30" ht="15" x14ac:dyDescent="0.25">
      <c r="A45" s="119">
        <v>34</v>
      </c>
      <c r="B45" s="85"/>
      <c r="C45" s="86"/>
      <c r="D45" s="87"/>
      <c r="E45" s="88"/>
      <c r="F45" s="101"/>
      <c r="G45" s="89"/>
      <c r="H45" s="93"/>
      <c r="I45" s="14"/>
      <c r="J45" s="14"/>
      <c r="K45" s="14"/>
      <c r="L45" s="14"/>
      <c r="M45" s="14"/>
      <c r="N45" s="20">
        <f t="shared" si="0"/>
        <v>0</v>
      </c>
      <c r="O45" s="18"/>
      <c r="P45" s="18"/>
      <c r="Q45" s="18"/>
      <c r="R45" s="18"/>
      <c r="S45" s="18"/>
      <c r="T45" s="19">
        <f t="shared" si="5"/>
        <v>0</v>
      </c>
      <c r="U45" s="83"/>
      <c r="V45" s="83"/>
      <c r="W45" s="120"/>
      <c r="X45" s="51">
        <f t="shared" si="9"/>
        <v>2.25</v>
      </c>
      <c r="Y45" s="52">
        <f t="shared" si="10"/>
        <v>0</v>
      </c>
      <c r="Z45" s="52">
        <f t="shared" si="11"/>
        <v>0.45</v>
      </c>
      <c r="AA45" s="10" t="b">
        <f t="shared" si="1"/>
        <v>0</v>
      </c>
      <c r="AB45" s="10" t="b">
        <f t="shared" si="12"/>
        <v>0</v>
      </c>
      <c r="AC45" s="10">
        <f t="shared" si="13"/>
        <v>0</v>
      </c>
      <c r="AD45" s="9"/>
    </row>
    <row r="46" spans="1:30" ht="15" x14ac:dyDescent="0.25">
      <c r="A46" s="119">
        <v>35</v>
      </c>
      <c r="B46" s="85"/>
      <c r="C46" s="86"/>
      <c r="D46" s="87"/>
      <c r="E46" s="88"/>
      <c r="F46" s="101"/>
      <c r="G46" s="89"/>
      <c r="H46" s="93"/>
      <c r="I46" s="14"/>
      <c r="J46" s="14"/>
      <c r="K46" s="14"/>
      <c r="L46" s="14"/>
      <c r="M46" s="14"/>
      <c r="N46" s="20">
        <f t="shared" si="0"/>
        <v>0</v>
      </c>
      <c r="O46" s="18"/>
      <c r="P46" s="18"/>
      <c r="Q46" s="18"/>
      <c r="R46" s="18"/>
      <c r="S46" s="18"/>
      <c r="T46" s="19">
        <f t="shared" si="5"/>
        <v>0</v>
      </c>
      <c r="U46" s="83"/>
      <c r="V46" s="83"/>
      <c r="W46" s="120"/>
      <c r="X46" s="51">
        <f t="shared" si="9"/>
        <v>2.25</v>
      </c>
      <c r="Y46" s="52">
        <f t="shared" si="10"/>
        <v>0</v>
      </c>
      <c r="Z46" s="52">
        <f t="shared" si="11"/>
        <v>0.45</v>
      </c>
      <c r="AA46" s="10" t="b">
        <f t="shared" si="1"/>
        <v>0</v>
      </c>
      <c r="AB46" s="10" t="b">
        <f t="shared" si="12"/>
        <v>0</v>
      </c>
      <c r="AC46" s="10">
        <f t="shared" si="13"/>
        <v>0</v>
      </c>
      <c r="AD46" s="9"/>
    </row>
    <row r="47" spans="1:30" ht="18" customHeight="1" x14ac:dyDescent="0.2">
      <c r="A47" s="289" t="s">
        <v>4</v>
      </c>
      <c r="B47" s="290"/>
      <c r="C47" s="290"/>
      <c r="D47" s="290"/>
      <c r="E47" s="290"/>
      <c r="F47" s="290"/>
      <c r="G47" s="290"/>
      <c r="H47" s="290"/>
      <c r="I47" s="23">
        <f>COUNTIF(I12:I46,1)</f>
        <v>7</v>
      </c>
      <c r="J47" s="23">
        <f>COUNTIF(J12:J46,1)</f>
        <v>9</v>
      </c>
      <c r="K47" s="23">
        <f>COUNTIF(K12:K46,1)</f>
        <v>10</v>
      </c>
      <c r="L47" s="23">
        <f>COUNTIF(L12:L46,1)</f>
        <v>3</v>
      </c>
      <c r="M47" s="23">
        <f>COUNTIF(M12:M46,1)</f>
        <v>7</v>
      </c>
      <c r="N47" s="54">
        <f>SUM(N12:N46)</f>
        <v>36</v>
      </c>
      <c r="O47" s="23">
        <f>COUNTIF(O12:O46,1)</f>
        <v>2</v>
      </c>
      <c r="P47" s="23">
        <f>COUNTIF(P12:P46,1)</f>
        <v>17</v>
      </c>
      <c r="Q47" s="23">
        <f>COUNTIF(Q12:Q46,1)</f>
        <v>9</v>
      </c>
      <c r="R47" s="23">
        <f>COUNTIF(R12:R46,1)</f>
        <v>14</v>
      </c>
      <c r="S47" s="23">
        <f>COUNTIF(S12:S46,1)</f>
        <v>10</v>
      </c>
      <c r="T47" s="90">
        <f>SUM(T12:T46)</f>
        <v>52</v>
      </c>
      <c r="U47" s="23">
        <f>COUNTIF(U12:U46,"ГР")</f>
        <v>19</v>
      </c>
      <c r="V47" s="23">
        <f>COUNTIF(V12:V46,"-")</f>
        <v>19</v>
      </c>
      <c r="W47" s="121">
        <f>COUNTIF(W12:W46,"совпадение")</f>
        <v>4</v>
      </c>
      <c r="X47" s="311"/>
      <c r="Y47" s="311"/>
      <c r="Z47" s="104"/>
      <c r="AA47" s="105"/>
      <c r="AB47" s="105"/>
      <c r="AC47" s="10">
        <f>SUM(AC12:AC46)</f>
        <v>0</v>
      </c>
      <c r="AD47" s="9"/>
    </row>
    <row r="48" spans="1:30" ht="17.25" customHeight="1" x14ac:dyDescent="0.2">
      <c r="A48" s="289" t="s">
        <v>30</v>
      </c>
      <c r="B48" s="290"/>
      <c r="C48" s="290"/>
      <c r="D48" s="290"/>
      <c r="E48" s="290"/>
      <c r="F48" s="290"/>
      <c r="G48" s="290"/>
      <c r="H48" s="290"/>
      <c r="I48" s="23">
        <f>COUNTIF(I12:I46,0)</f>
        <v>9</v>
      </c>
      <c r="J48" s="23">
        <f>COUNTIF(J12:J46,0)</f>
        <v>9</v>
      </c>
      <c r="K48" s="23">
        <f>COUNTIF(K12:K46,0)</f>
        <v>7</v>
      </c>
      <c r="L48" s="23">
        <f>COUNTIF(L12:L46,0)</f>
        <v>14</v>
      </c>
      <c r="M48" s="23">
        <f>COUNTIF(M12:M46,0)</f>
        <v>10</v>
      </c>
      <c r="N48" s="53">
        <f>SUM(N12:N46)/I50</f>
        <v>2.25</v>
      </c>
      <c r="O48" s="23">
        <f>COUNTIF(O12:O46,0)</f>
        <v>13</v>
      </c>
      <c r="P48" s="23">
        <f>COUNTIF(P12:P46,0)</f>
        <v>1</v>
      </c>
      <c r="Q48" s="23">
        <f>COUNTIF(Q12:Q46,0)</f>
        <v>7</v>
      </c>
      <c r="R48" s="23">
        <f>COUNTIF(R12:R46,0)</f>
        <v>3</v>
      </c>
      <c r="S48" s="23">
        <f>COUNTIF(S12:S46,0)</f>
        <v>6</v>
      </c>
      <c r="T48" s="53">
        <f>SUM(T12:T46)/I50</f>
        <v>3.25</v>
      </c>
      <c r="U48" s="23">
        <f>COUNTIF(U12:U46,"БУ")</f>
        <v>2</v>
      </c>
      <c r="V48" s="23">
        <f>COUNTIF(V12:V46,"достиг")</f>
        <v>2</v>
      </c>
      <c r="W48" s="121">
        <f>COUNTIF(W12:W46,"занижено")</f>
        <v>0</v>
      </c>
      <c r="X48" s="311"/>
      <c r="Y48" s="311"/>
      <c r="Z48" s="102"/>
      <c r="AA48" s="103"/>
      <c r="AB48" s="103"/>
      <c r="AC48" s="10"/>
      <c r="AD48" s="9"/>
    </row>
    <row r="49" spans="1:30" ht="18" customHeight="1" x14ac:dyDescent="0.2">
      <c r="A49" s="309" t="s">
        <v>31</v>
      </c>
      <c r="B49" s="310"/>
      <c r="C49" s="310"/>
      <c r="D49" s="310"/>
      <c r="E49" s="310"/>
      <c r="F49" s="310"/>
      <c r="G49" s="310"/>
      <c r="H49" s="310"/>
      <c r="I49" s="23">
        <f>COUNTIF(I12:I46,"х")</f>
        <v>0</v>
      </c>
      <c r="J49" s="23">
        <f>COUNTIF(J12:J46,"х")</f>
        <v>0</v>
      </c>
      <c r="K49" s="23">
        <f>COUNTIF(K12:K46,"х")</f>
        <v>0</v>
      </c>
      <c r="L49" s="23">
        <f>COUNTIF(L12:L46,"х")</f>
        <v>0</v>
      </c>
      <c r="M49" s="23">
        <f>COUNTIF(M12:M46,"х")</f>
        <v>0</v>
      </c>
      <c r="N49" s="54">
        <f>5*I50</f>
        <v>80</v>
      </c>
      <c r="O49" s="23">
        <f>COUNTIF(O12:O46,"х")</f>
        <v>0</v>
      </c>
      <c r="P49" s="23">
        <f>COUNTIF(P12:P46,"х")</f>
        <v>0</v>
      </c>
      <c r="Q49" s="23">
        <f>COUNTIF(Q12:Q46,"х")</f>
        <v>0</v>
      </c>
      <c r="R49" s="23">
        <f>COUNTIF(R12:R46,"х")</f>
        <v>0</v>
      </c>
      <c r="S49" s="23">
        <f>COUNTIF(S12:S46,"х")</f>
        <v>0</v>
      </c>
      <c r="T49" s="61">
        <f>5*I50</f>
        <v>80</v>
      </c>
      <c r="U49" s="23">
        <f>COUNTIF(U12:U46,"отсутствует")</f>
        <v>0</v>
      </c>
      <c r="V49" s="23">
        <f>COUNTIF(AC12:AC46,"1")</f>
        <v>0</v>
      </c>
      <c r="W49" s="121">
        <f>COUNTIF(W12:W46,"завышено")</f>
        <v>17</v>
      </c>
      <c r="X49" s="311"/>
      <c r="Y49" s="311"/>
      <c r="Z49" s="102"/>
      <c r="AA49" s="103"/>
      <c r="AB49" s="103"/>
      <c r="AC49" s="10"/>
      <c r="AD49" s="9"/>
    </row>
    <row r="50" spans="1:30" ht="21.75" customHeight="1" x14ac:dyDescent="0.2">
      <c r="A50" s="309" t="s">
        <v>44</v>
      </c>
      <c r="B50" s="310"/>
      <c r="C50" s="310"/>
      <c r="D50" s="310"/>
      <c r="E50" s="310"/>
      <c r="F50" s="310"/>
      <c r="G50" s="310"/>
      <c r="H50" s="310"/>
      <c r="I50" s="98">
        <f>I47+I48+I49</f>
        <v>16</v>
      </c>
      <c r="J50" s="99"/>
      <c r="K50" s="99"/>
      <c r="L50" s="99"/>
      <c r="M50" s="100"/>
      <c r="N50" s="117">
        <f>N47/N49</f>
        <v>0.45</v>
      </c>
      <c r="O50" s="276"/>
      <c r="P50" s="276"/>
      <c r="Q50" s="276"/>
      <c r="R50" s="276"/>
      <c r="S50" s="276"/>
      <c r="T50" s="117">
        <f>T47/T49</f>
        <v>0.65</v>
      </c>
      <c r="U50" s="312" t="s">
        <v>96</v>
      </c>
      <c r="V50" s="313"/>
      <c r="W50" s="314"/>
      <c r="X50" s="9"/>
      <c r="AA50" s="9"/>
      <c r="AB50" s="9"/>
      <c r="AC50" s="9"/>
      <c r="AD50" s="9"/>
    </row>
    <row r="51" spans="1:30" ht="22.5" customHeight="1" x14ac:dyDescent="0.2">
      <c r="A51" s="309" t="s">
        <v>42</v>
      </c>
      <c r="B51" s="310"/>
      <c r="C51" s="310"/>
      <c r="D51" s="310"/>
      <c r="E51" s="310"/>
      <c r="F51" s="310"/>
      <c r="G51" s="310"/>
      <c r="H51" s="310"/>
      <c r="I51" s="94">
        <f>I47/$I$50</f>
        <v>0.4375</v>
      </c>
      <c r="J51" s="94">
        <f>J47/$I$50</f>
        <v>0.5625</v>
      </c>
      <c r="K51" s="94">
        <f>K47/$I$50</f>
        <v>0.625</v>
      </c>
      <c r="L51" s="94">
        <f>L47/$I$50</f>
        <v>0.1875</v>
      </c>
      <c r="M51" s="94">
        <f>M47/$I$50</f>
        <v>0.4375</v>
      </c>
      <c r="N51" s="95"/>
      <c r="O51" s="94">
        <f>O47/$I$50</f>
        <v>0.125</v>
      </c>
      <c r="P51" s="94">
        <f>P47/$I$50</f>
        <v>1.0625</v>
      </c>
      <c r="Q51" s="94">
        <f>Q47/$I$50</f>
        <v>0.5625</v>
      </c>
      <c r="R51" s="94">
        <f>R47/$I$50</f>
        <v>0.875</v>
      </c>
      <c r="S51" s="94">
        <f>S47/$I$50</f>
        <v>0.625</v>
      </c>
      <c r="T51" s="96"/>
      <c r="U51" s="312"/>
      <c r="V51" s="313"/>
      <c r="W51" s="314"/>
      <c r="X51" s="50"/>
      <c r="Y51" s="50"/>
      <c r="Z51" s="50"/>
      <c r="AA51" s="50"/>
      <c r="AB51" s="50"/>
    </row>
    <row r="52" spans="1:30" ht="20.25" customHeight="1" x14ac:dyDescent="0.2">
      <c r="A52" s="286" t="s">
        <v>133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8"/>
    </row>
    <row r="53" spans="1:30" ht="20.25" customHeight="1" x14ac:dyDescent="0.2">
      <c r="A53" s="295" t="s">
        <v>132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7"/>
    </row>
    <row r="54" spans="1:30" ht="18" customHeight="1" x14ac:dyDescent="0.2">
      <c r="A54" s="292" t="s">
        <v>131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4"/>
    </row>
    <row r="55" spans="1:30" ht="18" customHeight="1" x14ac:dyDescent="0.2">
      <c r="A55" s="286" t="s">
        <v>134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8"/>
    </row>
    <row r="56" spans="1:30" ht="18" customHeight="1" x14ac:dyDescent="0.2">
      <c r="A56" s="280" t="s">
        <v>135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2"/>
    </row>
    <row r="57" spans="1:30" ht="18" customHeight="1" x14ac:dyDescent="0.2">
      <c r="A57" s="277" t="s">
        <v>136</v>
      </c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9"/>
    </row>
    <row r="58" spans="1:30" ht="20.25" customHeight="1" x14ac:dyDescent="0.2">
      <c r="A58" s="286" t="s">
        <v>6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8"/>
    </row>
    <row r="59" spans="1:30" ht="18" customHeight="1" x14ac:dyDescent="0.2">
      <c r="A59" s="283" t="s">
        <v>129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5"/>
    </row>
    <row r="60" spans="1:30" ht="22.5" customHeight="1" thickBot="1" x14ac:dyDescent="0.25">
      <c r="A60" s="273" t="s">
        <v>130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5"/>
    </row>
    <row r="61" spans="1:30" x14ac:dyDescent="0.2">
      <c r="H61" s="45">
        <f t="shared" ref="H61:M61" si="14">$N$50*100</f>
        <v>45</v>
      </c>
      <c r="I61" s="45">
        <f t="shared" si="14"/>
        <v>45</v>
      </c>
      <c r="J61" s="45">
        <f t="shared" si="14"/>
        <v>45</v>
      </c>
      <c r="K61" s="45">
        <f t="shared" si="14"/>
        <v>45</v>
      </c>
      <c r="L61" s="45">
        <f t="shared" si="14"/>
        <v>45</v>
      </c>
      <c r="M61" s="45">
        <f t="shared" si="14"/>
        <v>45</v>
      </c>
      <c r="O61" s="49">
        <f>$T$50*100</f>
        <v>65</v>
      </c>
      <c r="P61" s="49">
        <f>$T$50*100</f>
        <v>65</v>
      </c>
      <c r="Q61" s="49">
        <f>$T$50*100</f>
        <v>65</v>
      </c>
      <c r="R61" s="49">
        <f>$T$50*100</f>
        <v>65</v>
      </c>
      <c r="S61" s="49">
        <f>$T$50*100</f>
        <v>65</v>
      </c>
    </row>
  </sheetData>
  <sheetProtection selectLockedCells="1" selectUnlockedCells="1"/>
  <dataConsolidate/>
  <mergeCells count="48">
    <mergeCell ref="A60:W60"/>
    <mergeCell ref="A54:W54"/>
    <mergeCell ref="A55:W55"/>
    <mergeCell ref="A56:W56"/>
    <mergeCell ref="A57:W57"/>
    <mergeCell ref="A58:W58"/>
    <mergeCell ref="A59:W59"/>
    <mergeCell ref="A53:W53"/>
    <mergeCell ref="A47:H47"/>
    <mergeCell ref="X47:Y47"/>
    <mergeCell ref="A48:H48"/>
    <mergeCell ref="X48:Y48"/>
    <mergeCell ref="A49:H49"/>
    <mergeCell ref="X49:Y49"/>
    <mergeCell ref="A50:H50"/>
    <mergeCell ref="O50:S50"/>
    <mergeCell ref="U50:W51"/>
    <mergeCell ref="A51:H51"/>
    <mergeCell ref="A52:W52"/>
    <mergeCell ref="AA11:AB11"/>
    <mergeCell ref="A8:L8"/>
    <mergeCell ref="M8:T8"/>
    <mergeCell ref="A9:U9"/>
    <mergeCell ref="A10:A11"/>
    <mergeCell ref="B10:E11"/>
    <mergeCell ref="F10:F11"/>
    <mergeCell ref="G10:G11"/>
    <mergeCell ref="H10:M10"/>
    <mergeCell ref="N10:N11"/>
    <mergeCell ref="O10:S10"/>
    <mergeCell ref="T10:T11"/>
    <mergeCell ref="U10:U11"/>
    <mergeCell ref="V10:V11"/>
    <mergeCell ref="W10:W11"/>
    <mergeCell ref="Y11:Z11"/>
    <mergeCell ref="A5:L5"/>
    <mergeCell ref="M5:T5"/>
    <mergeCell ref="A6:L6"/>
    <mergeCell ref="M6:T6"/>
    <mergeCell ref="A7:L7"/>
    <mergeCell ref="M7:T7"/>
    <mergeCell ref="A4:L4"/>
    <mergeCell ref="M4:T4"/>
    <mergeCell ref="A1:T1"/>
    <mergeCell ref="A2:L2"/>
    <mergeCell ref="M2:T2"/>
    <mergeCell ref="A3:L3"/>
    <mergeCell ref="M3:T3"/>
  </mergeCells>
  <dataValidations count="3">
    <dataValidation type="list" allowBlank="1" showErrorMessage="1" sqref="M2:T2">
      <formula1>"Амурский,Аяно-Майский,Бикинский,Ванинский,Верхнебуреинский,Вяземский,Комсомольский,им.Лазо,Нанайский,Николаевский,Охотский,им.П.Осипенко,Советско-Гаванский,Солнечный,Тугуро-Чумиканский,Ульчский,Хабаровский,г.Комсомольск-на-Амуре,г.Хабаровск"</formula1>
    </dataValidation>
    <dataValidation type="list" allowBlank="1" showErrorMessage="1" sqref="M4:T4">
      <formula1>"Начальная школа,Основная школа,Средняя школа"</formula1>
    </dataValidation>
    <dataValidation type="list" allowBlank="1" showErrorMessage="1" sqref="M5:T5">
      <formula1>"Общеобразовательная школа,Гимназия,Лицей,Школа с углубленным изучением отдельных предметов"</formula1>
    </dataValidation>
  </dataValidations>
  <pageMargins left="0.16" right="0.16" top="0.98402777777777772" bottom="0.98402777777777772" header="0.51180555555555551" footer="0.51180555555555551"/>
  <pageSetup paperSize="9" scale="75" firstPageNumber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7"/>
  <sheetViews>
    <sheetView zoomScaleNormal="100" workbookViewId="0">
      <selection activeCell="H15" sqref="H15"/>
    </sheetView>
  </sheetViews>
  <sheetFormatPr defaultRowHeight="12.75" x14ac:dyDescent="0.2"/>
  <cols>
    <col min="1" max="1" width="5.42578125" customWidth="1"/>
    <col min="2" max="2" width="85.5703125" customWidth="1"/>
    <col min="3" max="3" width="7.5703125" customWidth="1"/>
    <col min="5" max="5" width="14.140625" customWidth="1"/>
    <col min="6" max="6" width="16.85546875" customWidth="1"/>
    <col min="7" max="7" width="7.140625" customWidth="1"/>
  </cols>
  <sheetData>
    <row r="1" spans="1:7" ht="18.75" customHeight="1" thickBot="1" x14ac:dyDescent="0.35">
      <c r="A1" s="218" t="s">
        <v>24</v>
      </c>
      <c r="B1" s="218"/>
      <c r="C1" s="218"/>
      <c r="D1" s="218"/>
      <c r="E1" s="218"/>
      <c r="F1" s="218"/>
      <c r="G1" s="218"/>
    </row>
    <row r="2" spans="1:7" x14ac:dyDescent="0.2">
      <c r="A2" s="318" t="s">
        <v>90</v>
      </c>
      <c r="B2" s="319"/>
      <c r="C2" s="315" t="str">
        <f>'Ф2-Г2'!M6</f>
        <v>1Б</v>
      </c>
      <c r="D2" s="316"/>
      <c r="E2" s="316"/>
      <c r="F2" s="316"/>
      <c r="G2" s="317"/>
    </row>
    <row r="3" spans="1:7" ht="13.5" thickBot="1" x14ac:dyDescent="0.25">
      <c r="A3" s="219" t="s">
        <v>123</v>
      </c>
      <c r="B3" s="220"/>
      <c r="C3" s="220"/>
      <c r="D3" s="220"/>
      <c r="E3" s="220"/>
      <c r="F3" s="220"/>
      <c r="G3" s="221"/>
    </row>
    <row r="4" spans="1:7" ht="15" customHeight="1" x14ac:dyDescent="0.2">
      <c r="A4" s="222" t="s">
        <v>3</v>
      </c>
      <c r="B4" s="122" t="s">
        <v>88</v>
      </c>
      <c r="C4" s="224" t="s">
        <v>8</v>
      </c>
      <c r="D4" s="224"/>
      <c r="E4" s="224"/>
      <c r="F4" s="224" t="s">
        <v>9</v>
      </c>
      <c r="G4" s="226" t="s">
        <v>10</v>
      </c>
    </row>
    <row r="5" spans="1:7" ht="29.25" customHeight="1" x14ac:dyDescent="0.2">
      <c r="A5" s="223"/>
      <c r="B5" s="123" t="s">
        <v>89</v>
      </c>
      <c r="C5" s="123" t="s">
        <v>11</v>
      </c>
      <c r="D5" s="123" t="s">
        <v>12</v>
      </c>
      <c r="E5" s="123" t="s">
        <v>13</v>
      </c>
      <c r="F5" s="225"/>
      <c r="G5" s="227"/>
    </row>
    <row r="6" spans="1:7" ht="27.75" customHeight="1" x14ac:dyDescent="0.2">
      <c r="A6" s="3">
        <v>1</v>
      </c>
      <c r="B6" s="4" t="s">
        <v>112</v>
      </c>
      <c r="C6" s="212" t="s">
        <v>125</v>
      </c>
      <c r="D6" s="213"/>
      <c r="E6" s="213"/>
      <c r="F6" s="213"/>
      <c r="G6" s="214"/>
    </row>
    <row r="7" spans="1:7" ht="23.25" customHeight="1" x14ac:dyDescent="0.2">
      <c r="A7" s="3">
        <v>2</v>
      </c>
      <c r="B7" s="4" t="s">
        <v>113</v>
      </c>
      <c r="C7" s="8">
        <f>'Ф2-Г2'!I47/'Ф2-Г2'!I50</f>
        <v>0.4375</v>
      </c>
      <c r="D7" s="8">
        <f>'Ф2-Г2'!I48/'Ф2-Г2'!I50</f>
        <v>0.5625</v>
      </c>
      <c r="E7" s="8">
        <f>'Ф2-Г2'!I49/'Ф2-Г2'!I50</f>
        <v>0</v>
      </c>
      <c r="F7" s="5" t="s">
        <v>14</v>
      </c>
      <c r="G7" s="6">
        <v>1</v>
      </c>
    </row>
    <row r="8" spans="1:7" ht="24.75" customHeight="1" x14ac:dyDescent="0.2">
      <c r="A8" s="3">
        <v>3</v>
      </c>
      <c r="B8" s="4" t="s">
        <v>114</v>
      </c>
      <c r="C8" s="8">
        <f>'Ф2-Г2'!J47/'Ф2-Г2'!I50</f>
        <v>0.5625</v>
      </c>
      <c r="D8" s="8">
        <f>'Ф2-Г2'!J48/'Ф2-Г2'!I50</f>
        <v>0.5625</v>
      </c>
      <c r="E8" s="8">
        <f>'Ф2-Г2'!J49/'Ф2-Г2'!I50</f>
        <v>0</v>
      </c>
      <c r="F8" s="5" t="s">
        <v>14</v>
      </c>
      <c r="G8" s="6">
        <v>1</v>
      </c>
    </row>
    <row r="9" spans="1:7" ht="27.75" customHeight="1" x14ac:dyDescent="0.2">
      <c r="A9" s="3">
        <v>4</v>
      </c>
      <c r="B9" s="4" t="s">
        <v>115</v>
      </c>
      <c r="C9" s="8">
        <f>'Ф2-Г2'!K47/'Ф2-Г2'!I50</f>
        <v>0.625</v>
      </c>
      <c r="D9" s="8">
        <f>'Ф2-Г2'!K48/'Ф2-Г2'!I50</f>
        <v>0.4375</v>
      </c>
      <c r="E9" s="8">
        <f>'Ф2-Г2'!K49/'Ф2-Г2'!I50</f>
        <v>0</v>
      </c>
      <c r="F9" s="5" t="s">
        <v>14</v>
      </c>
      <c r="G9" s="6">
        <v>1</v>
      </c>
    </row>
    <row r="10" spans="1:7" ht="40.5" customHeight="1" x14ac:dyDescent="0.2">
      <c r="A10" s="3">
        <v>5</v>
      </c>
      <c r="B10" s="4" t="s">
        <v>116</v>
      </c>
      <c r="C10" s="8">
        <f>'Ф2-Г2'!L47/'Ф2-Г2'!I50</f>
        <v>0.1875</v>
      </c>
      <c r="D10" s="8">
        <f>'Ф2-Г2'!L48/'Ф2-Г2'!I50</f>
        <v>0.875</v>
      </c>
      <c r="E10" s="8">
        <f>'Ф2-Г2'!L49/'Ф2-Г2'!I50</f>
        <v>0</v>
      </c>
      <c r="F10" s="5" t="s">
        <v>14</v>
      </c>
      <c r="G10" s="6">
        <v>1</v>
      </c>
    </row>
    <row r="11" spans="1:7" ht="33" customHeight="1" x14ac:dyDescent="0.2">
      <c r="A11" s="3">
        <v>6</v>
      </c>
      <c r="B11" s="4" t="s">
        <v>117</v>
      </c>
      <c r="C11" s="8">
        <f>'Ф2-Г2'!M47/'Ф2-Г2'!I50</f>
        <v>0.4375</v>
      </c>
      <c r="D11" s="8">
        <f>'Ф2-Г2'!M48/'Ф2-Г2'!I50</f>
        <v>0.625</v>
      </c>
      <c r="E11" s="8">
        <f>'Ф2-Г2'!M49/'Ф2-Г2'!I50</f>
        <v>0</v>
      </c>
      <c r="F11" s="5" t="s">
        <v>14</v>
      </c>
      <c r="G11" s="6">
        <v>1</v>
      </c>
    </row>
    <row r="12" spans="1:7" ht="14.25" customHeight="1" x14ac:dyDescent="0.2">
      <c r="A12" s="215" t="s">
        <v>91</v>
      </c>
      <c r="B12" s="216"/>
      <c r="C12" s="216"/>
      <c r="D12" s="216"/>
      <c r="E12" s="216"/>
      <c r="F12" s="216"/>
      <c r="G12" s="217"/>
    </row>
    <row r="13" spans="1:7" ht="24" customHeight="1" x14ac:dyDescent="0.2">
      <c r="A13" s="3">
        <v>7</v>
      </c>
      <c r="B13" s="4" t="s">
        <v>118</v>
      </c>
      <c r="C13" s="42">
        <f>'Ф2-Г2'!O47/'Ф2-Г2'!I50</f>
        <v>0.125</v>
      </c>
      <c r="D13" s="42">
        <f>'Ф2-Г2'!O48/'Ф2-Г2'!$I$50</f>
        <v>0.8125</v>
      </c>
      <c r="E13" s="42">
        <f>'Ф2-Г2'!O$49/'Ф2-Г2'!$I$50</f>
        <v>0</v>
      </c>
      <c r="F13" s="39" t="s">
        <v>15</v>
      </c>
      <c r="G13" s="41">
        <v>1</v>
      </c>
    </row>
    <row r="14" spans="1:7" ht="30" customHeight="1" x14ac:dyDescent="0.2">
      <c r="A14" s="3">
        <v>8</v>
      </c>
      <c r="B14" s="4" t="s">
        <v>119</v>
      </c>
      <c r="C14" s="43">
        <f>'Ф2-Г2'!P47/'Ф2-Г2'!I50</f>
        <v>1.0625</v>
      </c>
      <c r="D14" s="42">
        <f>'Ф2-Г2'!P48/'Ф2-Г2'!$I$50</f>
        <v>6.25E-2</v>
      </c>
      <c r="E14" s="42">
        <f>'Ф2-Г2'!P49/'Ф2-Г2'!$I$50</f>
        <v>0</v>
      </c>
      <c r="F14" s="39" t="s">
        <v>15</v>
      </c>
      <c r="G14" s="41">
        <v>1</v>
      </c>
    </row>
    <row r="15" spans="1:7" ht="17.25" customHeight="1" x14ac:dyDescent="0.2">
      <c r="A15" s="3">
        <v>9</v>
      </c>
      <c r="B15" s="64" t="s">
        <v>120</v>
      </c>
      <c r="C15" s="43">
        <f>'Ф2-Г2'!Q47/'Ф2-Г2'!I50</f>
        <v>0.5625</v>
      </c>
      <c r="D15" s="42">
        <f>'Ф2-Г2'!Q48/'Ф2-Г2'!$I$50</f>
        <v>0.4375</v>
      </c>
      <c r="E15" s="42">
        <f>'Ф2-Г2'!Q49/'Ф2-Г2'!$I$50</f>
        <v>0</v>
      </c>
      <c r="F15" s="39" t="s">
        <v>15</v>
      </c>
      <c r="G15" s="41">
        <v>1</v>
      </c>
    </row>
    <row r="16" spans="1:7" ht="18.75" customHeight="1" x14ac:dyDescent="0.2">
      <c r="A16" s="3">
        <v>10</v>
      </c>
      <c r="B16" s="64" t="s">
        <v>121</v>
      </c>
      <c r="C16" s="43">
        <f>'Ф2-Г2'!R47/'Ф2-Г2'!I50</f>
        <v>0.875</v>
      </c>
      <c r="D16" s="42">
        <f>'Ф2-Г2'!R48/'Ф2-Г2'!$I$50</f>
        <v>0.1875</v>
      </c>
      <c r="E16" s="42">
        <f>'Ф2-Г2'!R49/'Ф2-Г2'!$I$50</f>
        <v>0</v>
      </c>
      <c r="F16" s="39" t="s">
        <v>15</v>
      </c>
      <c r="G16" s="41">
        <v>1</v>
      </c>
    </row>
    <row r="17" spans="1:7" ht="18" customHeight="1" x14ac:dyDescent="0.2">
      <c r="A17" s="3">
        <v>11</v>
      </c>
      <c r="B17" s="64" t="s">
        <v>122</v>
      </c>
      <c r="C17" s="43">
        <f>'Ф2-Г2'!S47/'Ф2-Г2'!I50</f>
        <v>0.625</v>
      </c>
      <c r="D17" s="42">
        <f>'Ф2-Г2'!S48/'Ф2-Г2'!$I$50</f>
        <v>0.375</v>
      </c>
      <c r="E17" s="42">
        <f>'Ф2-Г2'!S49/'Ф2-Г2'!$I$50</f>
        <v>0</v>
      </c>
      <c r="F17" s="39" t="s">
        <v>15</v>
      </c>
      <c r="G17" s="41">
        <v>1</v>
      </c>
    </row>
  </sheetData>
  <sheetProtection selectLockedCells="1" selectUnlockedCells="1"/>
  <mergeCells count="10">
    <mergeCell ref="C6:G6"/>
    <mergeCell ref="A12:G12"/>
    <mergeCell ref="A1:G1"/>
    <mergeCell ref="A2:B2"/>
    <mergeCell ref="C2:G2"/>
    <mergeCell ref="A3:G3"/>
    <mergeCell ref="A4:A5"/>
    <mergeCell ref="C4:E4"/>
    <mergeCell ref="F4:F5"/>
    <mergeCell ref="G4:G5"/>
  </mergeCells>
  <pageMargins left="0.74791666666666667" right="0.74791666666666667" top="0.98402777777777772" bottom="0.98402777777777772" header="0.51180555555555551" footer="0.51180555555555551"/>
  <pageSetup paperSize="9" scale="85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10"/>
  <sheetViews>
    <sheetView topLeftCell="S1" zoomScale="90" zoomScaleNormal="90" zoomScalePageLayoutView="90" workbookViewId="0">
      <selection activeCell="R22" sqref="R22"/>
    </sheetView>
  </sheetViews>
  <sheetFormatPr defaultRowHeight="12.75" x14ac:dyDescent="0.2"/>
  <cols>
    <col min="1" max="1" width="25.42578125" customWidth="1"/>
    <col min="2" max="3" width="5.5703125" hidden="1" customWidth="1"/>
    <col min="4" max="4" width="5.5703125" customWidth="1"/>
    <col min="5" max="5" width="6.42578125" customWidth="1"/>
    <col min="6" max="6" width="5.5703125" customWidth="1"/>
    <col min="7" max="7" width="6.85546875" customWidth="1"/>
    <col min="8" max="8" width="5.5703125" customWidth="1"/>
    <col min="9" max="9" width="7.28515625" customWidth="1"/>
    <col min="10" max="10" width="5.5703125" customWidth="1"/>
    <col min="11" max="11" width="7.5703125" customWidth="1"/>
    <col min="12" max="12" width="5.5703125" customWidth="1"/>
    <col min="13" max="13" width="8.85546875" customWidth="1"/>
    <col min="14" max="14" width="7" customWidth="1"/>
    <col min="15" max="19" width="5.5703125" customWidth="1"/>
    <col min="20" max="20" width="20.7109375" customWidth="1"/>
    <col min="21" max="30" width="6.42578125" customWidth="1"/>
  </cols>
  <sheetData>
    <row r="1" spans="1:30" ht="18" customHeight="1" x14ac:dyDescent="0.25">
      <c r="A1" s="208" t="s">
        <v>110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71" t="str">
        <f>'Ф2-Г2'!M6</f>
        <v>1Б</v>
      </c>
      <c r="O1" s="63"/>
      <c r="P1" s="63"/>
      <c r="Q1" s="63"/>
      <c r="R1" s="63"/>
      <c r="S1" s="63"/>
    </row>
    <row r="2" spans="1:30" ht="13.5" thickBot="1" x14ac:dyDescent="0.25"/>
    <row r="3" spans="1:30" x14ac:dyDescent="0.2">
      <c r="A3" s="231"/>
      <c r="B3" s="233" t="s">
        <v>97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65"/>
      <c r="O3" s="65"/>
      <c r="P3" s="65"/>
      <c r="Q3" s="65"/>
      <c r="R3" s="65"/>
      <c r="S3" s="65"/>
      <c r="T3" s="231"/>
      <c r="U3" s="233" t="s">
        <v>98</v>
      </c>
      <c r="V3" s="233"/>
      <c r="W3" s="233"/>
      <c r="X3" s="233"/>
      <c r="Y3" s="233"/>
      <c r="Z3" s="233"/>
      <c r="AA3" s="233"/>
      <c r="AB3" s="233"/>
      <c r="AC3" s="233"/>
      <c r="AD3" s="234"/>
    </row>
    <row r="4" spans="1:30" x14ac:dyDescent="0.2">
      <c r="A4" s="232"/>
      <c r="B4" s="238">
        <v>1</v>
      </c>
      <c r="C4" s="239"/>
      <c r="D4" s="240">
        <v>2</v>
      </c>
      <c r="E4" s="241"/>
      <c r="F4" s="240">
        <v>3</v>
      </c>
      <c r="G4" s="241"/>
      <c r="H4" s="240">
        <v>4</v>
      </c>
      <c r="I4" s="241"/>
      <c r="J4" s="240">
        <v>5</v>
      </c>
      <c r="K4" s="241"/>
      <c r="L4" s="240">
        <v>6</v>
      </c>
      <c r="M4" s="242"/>
      <c r="N4" s="66"/>
      <c r="O4" s="66"/>
      <c r="P4" s="66"/>
      <c r="Q4" s="66"/>
      <c r="R4" s="66"/>
      <c r="S4" s="66"/>
      <c r="T4" s="232"/>
      <c r="U4" s="323">
        <v>7</v>
      </c>
      <c r="V4" s="244"/>
      <c r="W4" s="245">
        <v>8</v>
      </c>
      <c r="X4" s="246"/>
      <c r="Y4" s="228">
        <v>9</v>
      </c>
      <c r="Z4" s="244"/>
      <c r="AA4" s="245">
        <v>10</v>
      </c>
      <c r="AB4" s="246"/>
      <c r="AC4" s="228">
        <v>11</v>
      </c>
      <c r="AD4" s="229"/>
    </row>
    <row r="5" spans="1:30" ht="13.5" thickBot="1" x14ac:dyDescent="0.25">
      <c r="A5" s="322"/>
      <c r="B5" s="92"/>
      <c r="C5" s="75"/>
      <c r="D5" s="15" t="s">
        <v>23</v>
      </c>
      <c r="E5" s="15" t="s">
        <v>5</v>
      </c>
      <c r="F5" s="15" t="s">
        <v>23</v>
      </c>
      <c r="G5" s="15" t="s">
        <v>5</v>
      </c>
      <c r="H5" s="15" t="s">
        <v>23</v>
      </c>
      <c r="I5" s="15" t="s">
        <v>5</v>
      </c>
      <c r="J5" s="15" t="s">
        <v>23</v>
      </c>
      <c r="K5" s="15" t="s">
        <v>5</v>
      </c>
      <c r="L5" s="15" t="s">
        <v>23</v>
      </c>
      <c r="M5" s="69" t="s">
        <v>5</v>
      </c>
      <c r="N5" s="67"/>
      <c r="O5" s="67"/>
      <c r="P5" s="67"/>
      <c r="Q5" s="67"/>
      <c r="R5" s="67"/>
      <c r="S5" s="67"/>
      <c r="T5" s="232"/>
      <c r="U5" s="150" t="s">
        <v>23</v>
      </c>
      <c r="V5" s="30" t="s">
        <v>5</v>
      </c>
      <c r="W5" s="30" t="s">
        <v>23</v>
      </c>
      <c r="X5" s="30" t="s">
        <v>5</v>
      </c>
      <c r="Y5" s="30" t="s">
        <v>23</v>
      </c>
      <c r="Z5" s="30" t="s">
        <v>5</v>
      </c>
      <c r="AA5" s="30" t="s">
        <v>23</v>
      </c>
      <c r="AB5" s="30" t="s">
        <v>5</v>
      </c>
      <c r="AC5" s="30" t="s">
        <v>23</v>
      </c>
      <c r="AD5" s="31" t="s">
        <v>5</v>
      </c>
    </row>
    <row r="6" spans="1:30" ht="26.25" customHeight="1" x14ac:dyDescent="0.2">
      <c r="A6" s="149" t="s">
        <v>27</v>
      </c>
      <c r="B6" s="76"/>
      <c r="C6" s="77"/>
      <c r="D6" s="144">
        <f>'Ф2-Г2'!I47</f>
        <v>7</v>
      </c>
      <c r="E6" s="33">
        <f>D6/'Ф2-Г2'!$I$50*100</f>
        <v>43.75</v>
      </c>
      <c r="F6" s="144">
        <f>'Ф2-Г2'!J47</f>
        <v>9</v>
      </c>
      <c r="G6" s="33">
        <f>F6/'Ф2-Г2'!$I$50*100</f>
        <v>56.25</v>
      </c>
      <c r="H6" s="144">
        <f>'Ф2-Г2'!K47</f>
        <v>10</v>
      </c>
      <c r="I6" s="33">
        <f>H6/'Ф2-Г2'!$I$50*100</f>
        <v>62.5</v>
      </c>
      <c r="J6" s="144">
        <f>'Ф2-Г2'!L47</f>
        <v>3</v>
      </c>
      <c r="K6" s="33">
        <f>J6/'Ф2-Г2'!$I$50*100</f>
        <v>18.75</v>
      </c>
      <c r="L6" s="144">
        <f>'Ф2-Г2'!M47</f>
        <v>7</v>
      </c>
      <c r="M6" s="70">
        <f>L6/'Ф2-Г2'!$I$50*100</f>
        <v>43.75</v>
      </c>
      <c r="N6" s="68"/>
      <c r="O6" s="68"/>
      <c r="P6" s="68"/>
      <c r="Q6" s="68"/>
      <c r="R6" s="68"/>
      <c r="S6" s="68"/>
      <c r="T6" s="153" t="s">
        <v>27</v>
      </c>
      <c r="U6" s="151">
        <f>'Ф2-Г2'!O47</f>
        <v>2</v>
      </c>
      <c r="V6" s="46">
        <f>U6/'Ф2-Г2'!$I$50*100</f>
        <v>12.5</v>
      </c>
      <c r="W6" s="143">
        <f>'Ф2-Г2'!P47</f>
        <v>17</v>
      </c>
      <c r="X6" s="46">
        <f>W6/'Ф2-Г2'!$I$50*100</f>
        <v>106.25</v>
      </c>
      <c r="Y6" s="143">
        <f>'Ф2-Г2'!Q47</f>
        <v>9</v>
      </c>
      <c r="Z6" s="46">
        <f>Y6/'Ф2-Г2'!$I$50*100</f>
        <v>56.25</v>
      </c>
      <c r="AA6" s="143">
        <f>'Ф2-Г2'!R47</f>
        <v>14</v>
      </c>
      <c r="AB6" s="46">
        <f>AA6/'Ф2-Г2'!$I$50*100</f>
        <v>87.5</v>
      </c>
      <c r="AC6" s="143">
        <f>'Ф2-Г2'!S47</f>
        <v>10</v>
      </c>
      <c r="AD6" s="48">
        <f>AC6/'Ф2-Г2'!$I$50*100</f>
        <v>62.5</v>
      </c>
    </row>
    <row r="7" spans="1:30" ht="26.25" customHeight="1" x14ac:dyDescent="0.2">
      <c r="A7" s="32" t="s">
        <v>29</v>
      </c>
      <c r="B7" s="76"/>
      <c r="C7" s="77"/>
      <c r="D7" s="144">
        <f>'Ф2-Г2'!I48</f>
        <v>9</v>
      </c>
      <c r="E7" s="33">
        <f>D7/'Ф2-Г2'!$I$50*100</f>
        <v>56.25</v>
      </c>
      <c r="F7" s="144">
        <f>'Ф2-Г2'!J48</f>
        <v>9</v>
      </c>
      <c r="G7" s="33">
        <f>F7/'Ф2-Г2'!$I$50*100</f>
        <v>56.25</v>
      </c>
      <c r="H7" s="144">
        <f>'Ф2-Г2'!K48</f>
        <v>7</v>
      </c>
      <c r="I7" s="33">
        <f>H7/'Ф2-Г2'!$I$50*100</f>
        <v>43.75</v>
      </c>
      <c r="J7" s="144">
        <f>'Ф2-Г2'!L48</f>
        <v>14</v>
      </c>
      <c r="K7" s="33">
        <f>J7/'Ф2-Г2'!$I$50*100</f>
        <v>87.5</v>
      </c>
      <c r="L7" s="144">
        <f>'Ф2-Г2'!M48</f>
        <v>10</v>
      </c>
      <c r="M7" s="70">
        <f>L7/'Ф2-Г2'!$I$50*100</f>
        <v>62.5</v>
      </c>
      <c r="N7" s="68"/>
      <c r="O7" s="68"/>
      <c r="P7" s="68"/>
      <c r="Q7" s="68"/>
      <c r="R7" s="68"/>
      <c r="S7" s="68"/>
      <c r="T7" s="153" t="s">
        <v>29</v>
      </c>
      <c r="U7" s="151">
        <f>'Ф2-Г2'!O48</f>
        <v>13</v>
      </c>
      <c r="V7" s="46">
        <f>U7/'Ф2-Г2'!$I$50*100</f>
        <v>81.25</v>
      </c>
      <c r="W7" s="143">
        <f>'Ф2-Г2'!P48</f>
        <v>1</v>
      </c>
      <c r="X7" s="46">
        <f>W7/'Ф2-Г2'!$I$50*100</f>
        <v>6.25</v>
      </c>
      <c r="Y7" s="143">
        <f>'Ф2-Г2'!Q48</f>
        <v>7</v>
      </c>
      <c r="Z7" s="46">
        <f>Y7/'Ф2-Г2'!$I$50*100</f>
        <v>43.75</v>
      </c>
      <c r="AA7" s="143">
        <f>'Ф2-Г2'!R48</f>
        <v>3</v>
      </c>
      <c r="AB7" s="46">
        <f>AA7/'Ф2-Г2'!$I$50*100</f>
        <v>18.75</v>
      </c>
      <c r="AC7" s="143">
        <f>'Ф2-Г2'!S48</f>
        <v>6</v>
      </c>
      <c r="AD7" s="48">
        <f>AC7/'Ф2-Г2'!$I$50*100</f>
        <v>37.5</v>
      </c>
    </row>
    <row r="8" spans="1:30" ht="26.25" customHeight="1" x14ac:dyDescent="0.2">
      <c r="A8" s="32" t="s">
        <v>28</v>
      </c>
      <c r="B8" s="76"/>
      <c r="C8" s="77"/>
      <c r="D8" s="144">
        <f>'Ф2-Г2'!I49</f>
        <v>0</v>
      </c>
      <c r="E8" s="33">
        <f>D8/'Ф2-Г2'!$I$50*100</f>
        <v>0</v>
      </c>
      <c r="F8" s="144">
        <f>'Ф2-Г2'!J49</f>
        <v>0</v>
      </c>
      <c r="G8" s="33">
        <f>F8/'Ф2-Г2'!$I$50*100</f>
        <v>0</v>
      </c>
      <c r="H8" s="144">
        <f>'Ф2-Г2'!K49</f>
        <v>0</v>
      </c>
      <c r="I8" s="33">
        <f>H8/'Ф2-Г2'!$I$50*100</f>
        <v>0</v>
      </c>
      <c r="J8" s="144">
        <f>'Ф2-Г2'!L49</f>
        <v>0</v>
      </c>
      <c r="K8" s="33">
        <f>J8/'Ф2-Г2'!$I$50*100</f>
        <v>0</v>
      </c>
      <c r="L8" s="144">
        <f>'Ф2-Г2'!M49</f>
        <v>0</v>
      </c>
      <c r="M8" s="70">
        <f>L8/'Ф2-Г2'!$I$50*100</f>
        <v>0</v>
      </c>
      <c r="N8" s="68"/>
      <c r="O8" s="68"/>
      <c r="P8" s="68"/>
      <c r="Q8" s="68"/>
      <c r="R8" s="68"/>
      <c r="S8" s="68"/>
      <c r="T8" s="153" t="s">
        <v>28</v>
      </c>
      <c r="U8" s="151">
        <f>'Ф2-Г2'!O49</f>
        <v>0</v>
      </c>
      <c r="V8" s="46">
        <f>U8/'Ф2-Г2'!$I$50*100</f>
        <v>0</v>
      </c>
      <c r="W8" s="143">
        <f>'Ф2-Г2'!P49</f>
        <v>0</v>
      </c>
      <c r="X8" s="46">
        <f>W8/'Ф2-Г2'!$I$50*100</f>
        <v>0</v>
      </c>
      <c r="Y8" s="143">
        <f>'Ф2-Г2'!Q49</f>
        <v>0</v>
      </c>
      <c r="Z8" s="46">
        <f>Y8/'Ф2-Г2'!$I$50*100</f>
        <v>0</v>
      </c>
      <c r="AA8" s="143">
        <f>'Ф2-Г2'!R49</f>
        <v>0</v>
      </c>
      <c r="AB8" s="46">
        <f>AA8/'Ф2-Г2'!$I$50*100</f>
        <v>0</v>
      </c>
      <c r="AC8" s="143">
        <f>'Ф2-Г2'!S49</f>
        <v>0</v>
      </c>
      <c r="AD8" s="48">
        <f>AC8/'Ф2-Г2'!$I$50*100</f>
        <v>0</v>
      </c>
    </row>
    <row r="9" spans="1:30" ht="26.25" customHeight="1" thickBot="1" x14ac:dyDescent="0.25">
      <c r="A9" s="55" t="s">
        <v>50</v>
      </c>
      <c r="B9" s="78"/>
      <c r="C9" s="79"/>
      <c r="D9" s="37">
        <f>'Ф2-Г2'!I51</f>
        <v>0.4375</v>
      </c>
      <c r="E9" s="145">
        <f>D9</f>
        <v>0.4375</v>
      </c>
      <c r="F9" s="37">
        <f>'Ф2-Г2'!J51</f>
        <v>0.5625</v>
      </c>
      <c r="G9" s="145">
        <f>F9</f>
        <v>0.5625</v>
      </c>
      <c r="H9" s="37">
        <f>'Ф2-Г2'!K51</f>
        <v>0.625</v>
      </c>
      <c r="I9" s="145">
        <f>H9</f>
        <v>0.625</v>
      </c>
      <c r="J9" s="37">
        <f>'Ф2-Г2'!L51</f>
        <v>0.1875</v>
      </c>
      <c r="K9" s="145">
        <f>J9</f>
        <v>0.1875</v>
      </c>
      <c r="L9" s="37">
        <f>'Ф2-Г2'!M51</f>
        <v>0.4375</v>
      </c>
      <c r="M9" s="146">
        <f>L9</f>
        <v>0.4375</v>
      </c>
      <c r="N9" s="68"/>
      <c r="O9" s="68"/>
      <c r="P9" s="68"/>
      <c r="Q9" s="68"/>
      <c r="R9" s="68"/>
      <c r="S9" s="68"/>
      <c r="T9" s="154" t="s">
        <v>50</v>
      </c>
      <c r="U9" s="152">
        <f>'Ф2-Г2'!O51</f>
        <v>0.125</v>
      </c>
      <c r="V9" s="147">
        <f>U9</f>
        <v>0.125</v>
      </c>
      <c r="W9" s="47">
        <f>'Ф2-Г2'!P51</f>
        <v>1.0625</v>
      </c>
      <c r="X9" s="147">
        <f>W9</f>
        <v>1.0625</v>
      </c>
      <c r="Y9" s="47">
        <f>'Ф2-Г2'!Q51</f>
        <v>0.5625</v>
      </c>
      <c r="Z9" s="147">
        <f>Y9</f>
        <v>0.5625</v>
      </c>
      <c r="AA9" s="47">
        <f>'Ф2-Г2'!R51</f>
        <v>0.875</v>
      </c>
      <c r="AB9" s="147">
        <f>AA9</f>
        <v>0.875</v>
      </c>
      <c r="AC9" s="47">
        <f>'Ф2-Г2'!S51</f>
        <v>0.625</v>
      </c>
      <c r="AD9" s="148">
        <f>AC9</f>
        <v>0.625</v>
      </c>
    </row>
    <row r="10" spans="1:30" x14ac:dyDescent="0.2">
      <c r="A10" s="97"/>
      <c r="B10" s="97"/>
      <c r="C10" s="97"/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/>
      <c r="J10" s="10"/>
      <c r="K10" s="97"/>
      <c r="L10" s="97"/>
      <c r="M10" s="97"/>
      <c r="N10" s="97"/>
      <c r="T10" s="10">
        <v>7</v>
      </c>
      <c r="U10" s="10">
        <v>8</v>
      </c>
      <c r="V10" s="10">
        <v>9</v>
      </c>
      <c r="W10" s="10">
        <v>10</v>
      </c>
      <c r="X10" s="10">
        <v>11</v>
      </c>
      <c r="Y10" s="10"/>
      <c r="Z10" s="97"/>
      <c r="AA10" s="97"/>
      <c r="AB10" s="97"/>
      <c r="AC10" s="97"/>
      <c r="AD10" s="97"/>
    </row>
  </sheetData>
  <mergeCells count="16">
    <mergeCell ref="AC4:AD4"/>
    <mergeCell ref="A1:M1"/>
    <mergeCell ref="A3:A5"/>
    <mergeCell ref="B3:M3"/>
    <mergeCell ref="T3:T5"/>
    <mergeCell ref="U3:AD3"/>
    <mergeCell ref="B4:C4"/>
    <mergeCell ref="D4:E4"/>
    <mergeCell ref="F4:G4"/>
    <mergeCell ref="H4:I4"/>
    <mergeCell ref="J4:K4"/>
    <mergeCell ref="L4:M4"/>
    <mergeCell ref="U4:V4"/>
    <mergeCell ref="W4:X4"/>
    <mergeCell ref="Y4:Z4"/>
    <mergeCell ref="AA4:AB4"/>
  </mergeCells>
  <pageMargins left="0.7" right="0.7" top="0.75" bottom="0.75" header="0.3" footer="0.3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23"/>
  <sheetViews>
    <sheetView zoomScaleNormal="100" workbookViewId="0">
      <selection activeCell="C17" sqref="C17:D17"/>
    </sheetView>
  </sheetViews>
  <sheetFormatPr defaultRowHeight="12.75" x14ac:dyDescent="0.2"/>
  <cols>
    <col min="1" max="1" width="2.42578125" customWidth="1"/>
    <col min="2" max="2" width="43.28515625" customWidth="1"/>
    <col min="3" max="3" width="14" customWidth="1"/>
    <col min="4" max="4" width="15.140625" customWidth="1"/>
    <col min="5" max="5" width="9.140625" customWidth="1"/>
    <col min="6" max="6" width="32" customWidth="1"/>
    <col min="7" max="7" width="15.85546875" customWidth="1"/>
    <col min="8" max="8" width="15.140625" customWidth="1"/>
    <col min="9" max="10" width="4" customWidth="1"/>
    <col min="11" max="14" width="9.140625" customWidth="1"/>
  </cols>
  <sheetData>
    <row r="1" spans="2:7" ht="18" customHeight="1" x14ac:dyDescent="0.25">
      <c r="B1" s="208" t="s">
        <v>110</v>
      </c>
      <c r="C1" s="208"/>
      <c r="D1" s="208"/>
      <c r="E1" s="208"/>
      <c r="F1" s="208"/>
      <c r="G1" s="17" t="str">
        <f>C5</f>
        <v>1В</v>
      </c>
    </row>
    <row r="2" spans="2:7" ht="12" customHeight="1" x14ac:dyDescent="0.2"/>
    <row r="3" spans="2:7" x14ac:dyDescent="0.2">
      <c r="B3" s="1" t="s">
        <v>47</v>
      </c>
      <c r="C3" s="209" t="str">
        <f>'Ф2-Г3'!M2</f>
        <v>г.Хабаровск</v>
      </c>
      <c r="D3" s="209"/>
    </row>
    <row r="4" spans="2:7" x14ac:dyDescent="0.2">
      <c r="B4" s="1" t="s">
        <v>16</v>
      </c>
      <c r="C4" s="209" t="str">
        <f>'Ф2-Г3'!M3</f>
        <v>МБОУ СОШ № 83</v>
      </c>
      <c r="D4" s="209"/>
    </row>
    <row r="5" spans="2:7" x14ac:dyDescent="0.2">
      <c r="B5" s="1" t="s">
        <v>7</v>
      </c>
      <c r="C5" s="209" t="str">
        <f>'Ф2-Г3'!M6</f>
        <v>1В</v>
      </c>
      <c r="D5" s="209"/>
    </row>
    <row r="6" spans="2:7" x14ac:dyDescent="0.2">
      <c r="B6" s="1" t="s">
        <v>17</v>
      </c>
      <c r="C6" s="210">
        <f>'Ф2-Г3'!M7</f>
        <v>20</v>
      </c>
      <c r="D6" s="210"/>
    </row>
    <row r="7" spans="2:7" ht="15.75" x14ac:dyDescent="0.2">
      <c r="B7" s="211" t="s">
        <v>18</v>
      </c>
      <c r="C7" s="211"/>
      <c r="D7" s="211"/>
    </row>
    <row r="8" spans="2:7" ht="38.25" x14ac:dyDescent="0.2">
      <c r="B8" s="12" t="s">
        <v>19</v>
      </c>
      <c r="C8" s="13" t="s">
        <v>20</v>
      </c>
      <c r="D8" s="13" t="s">
        <v>21</v>
      </c>
    </row>
    <row r="9" spans="2:7" x14ac:dyDescent="0.2">
      <c r="B9" s="44" t="s">
        <v>43</v>
      </c>
      <c r="C9" s="2">
        <f>'Ф2-Г3'!I50</f>
        <v>17</v>
      </c>
      <c r="D9" s="11">
        <f>C9/C6</f>
        <v>0.85</v>
      </c>
    </row>
    <row r="10" spans="2:7" ht="15.75" x14ac:dyDescent="0.2">
      <c r="B10" s="203" t="s">
        <v>92</v>
      </c>
      <c r="C10" s="204"/>
      <c r="D10" s="205"/>
    </row>
    <row r="11" spans="2:7" x14ac:dyDescent="0.2">
      <c r="B11" s="24" t="s">
        <v>25</v>
      </c>
      <c r="C11" s="2">
        <f>'Ф2-Г3'!U47</f>
        <v>17</v>
      </c>
      <c r="D11" s="11">
        <f>C11/$C$9</f>
        <v>1</v>
      </c>
    </row>
    <row r="12" spans="2:7" x14ac:dyDescent="0.2">
      <c r="B12" s="25" t="s">
        <v>148</v>
      </c>
      <c r="C12" s="2">
        <f>'Ф2-Г3'!U48</f>
        <v>2</v>
      </c>
      <c r="D12" s="11">
        <f>C12/$C$9</f>
        <v>0.11764705882352941</v>
      </c>
    </row>
    <row r="13" spans="2:7" x14ac:dyDescent="0.2">
      <c r="B13" s="26" t="s">
        <v>140</v>
      </c>
      <c r="C13" s="2">
        <f>'Ф2-Г3'!V48</f>
        <v>1</v>
      </c>
      <c r="D13" s="11">
        <f>C13/$C$9</f>
        <v>5.8823529411764705E-2</v>
      </c>
    </row>
    <row r="14" spans="2:7" x14ac:dyDescent="0.2">
      <c r="B14" s="26" t="s">
        <v>141</v>
      </c>
      <c r="C14" s="2">
        <f>'Ф2-Г3'!V47</f>
        <v>18</v>
      </c>
      <c r="D14" s="11">
        <f>C14/$C$9</f>
        <v>1.0588235294117647</v>
      </c>
    </row>
    <row r="15" spans="2:7" ht="24" x14ac:dyDescent="0.2">
      <c r="B15" s="114" t="s">
        <v>142</v>
      </c>
      <c r="C15" s="2">
        <f>'Ф2-Г3'!V49</f>
        <v>1</v>
      </c>
      <c r="D15" s="11">
        <f>C15/$C$9</f>
        <v>5.8823529411764705E-2</v>
      </c>
    </row>
    <row r="16" spans="2:7" x14ac:dyDescent="0.2">
      <c r="B16" s="27" t="s">
        <v>22</v>
      </c>
      <c r="C16" s="206">
        <f>'Ф2-Г3'!N48</f>
        <v>2.6470588235294117</v>
      </c>
      <c r="D16" s="206"/>
    </row>
    <row r="17" spans="2:7" x14ac:dyDescent="0.2">
      <c r="B17" s="28" t="s">
        <v>49</v>
      </c>
      <c r="C17" s="250">
        <f>'Ф2-Г3'!N50</f>
        <v>0.52941176470588236</v>
      </c>
      <c r="D17" s="250"/>
    </row>
    <row r="20" spans="2:7" ht="14.25" customHeight="1" x14ac:dyDescent="0.2">
      <c r="F20" s="10" t="s">
        <v>144</v>
      </c>
      <c r="G20" s="115">
        <f>D11</f>
        <v>1</v>
      </c>
    </row>
    <row r="21" spans="2:7" x14ac:dyDescent="0.2">
      <c r="F21" s="10" t="s">
        <v>143</v>
      </c>
      <c r="G21" s="115">
        <f>D12</f>
        <v>0.11764705882352941</v>
      </c>
    </row>
    <row r="22" spans="2:7" x14ac:dyDescent="0.2">
      <c r="F22" s="10" t="s">
        <v>145</v>
      </c>
      <c r="G22" s="115">
        <f>D15</f>
        <v>5.8823529411764705E-2</v>
      </c>
    </row>
    <row r="23" spans="2:7" x14ac:dyDescent="0.2">
      <c r="F23" s="10" t="s">
        <v>146</v>
      </c>
      <c r="G23" s="115">
        <f>D13</f>
        <v>5.8823529411764705E-2</v>
      </c>
    </row>
  </sheetData>
  <mergeCells count="9">
    <mergeCell ref="B10:D10"/>
    <mergeCell ref="C16:D16"/>
    <mergeCell ref="C17:D17"/>
    <mergeCell ref="B1:F1"/>
    <mergeCell ref="C3:D3"/>
    <mergeCell ref="C4:D4"/>
    <mergeCell ref="C5:D5"/>
    <mergeCell ref="C6:D6"/>
    <mergeCell ref="B7:D7"/>
  </mergeCells>
  <pageMargins left="0.25" right="0.25" top="0.75" bottom="0.75" header="0.3" footer="0.3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D61"/>
  <sheetViews>
    <sheetView topLeftCell="E37" zoomScale="90" zoomScaleNormal="90" workbookViewId="0">
      <selection activeCell="U46" sqref="U46"/>
    </sheetView>
  </sheetViews>
  <sheetFormatPr defaultRowHeight="12.75" x14ac:dyDescent="0.2"/>
  <cols>
    <col min="1" max="1" width="4.28515625" customWidth="1"/>
    <col min="2" max="2" width="4.42578125" customWidth="1"/>
    <col min="3" max="3" width="9.42578125" customWidth="1"/>
    <col min="4" max="4" width="6.85546875" customWidth="1"/>
    <col min="5" max="5" width="5.85546875" customWidth="1"/>
    <col min="6" max="6" width="10.85546875" customWidth="1"/>
    <col min="7" max="7" width="11.42578125" customWidth="1"/>
    <col min="8" max="8" width="10.85546875" customWidth="1"/>
    <col min="9" max="13" width="5" customWidth="1"/>
    <col min="14" max="14" width="10.140625" customWidth="1"/>
    <col min="15" max="19" width="5.85546875" customWidth="1"/>
    <col min="20" max="20" width="11.85546875" customWidth="1"/>
    <col min="21" max="22" width="16" customWidth="1"/>
    <col min="23" max="23" width="13.42578125" customWidth="1"/>
    <col min="24" max="24" width="24.5703125" style="10" customWidth="1"/>
    <col min="25" max="26" width="9.140625" style="9" customWidth="1"/>
    <col min="27" max="27" width="8.28515625" customWidth="1"/>
    <col min="28" max="28" width="8.42578125" customWidth="1"/>
    <col min="29" max="29" width="7" customWidth="1"/>
  </cols>
  <sheetData>
    <row r="1" spans="1:30" ht="25.5" customHeight="1" x14ac:dyDescent="0.25">
      <c r="A1" s="256" t="s">
        <v>111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7" t="s">
        <v>139</v>
      </c>
      <c r="V1" s="7"/>
    </row>
    <row r="2" spans="1:30" ht="15.75" customHeight="1" x14ac:dyDescent="0.2">
      <c r="A2" s="257" t="s">
        <v>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1" t="s">
        <v>176</v>
      </c>
      <c r="N2" s="262"/>
      <c r="O2" s="262"/>
      <c r="P2" s="262"/>
      <c r="Q2" s="262"/>
      <c r="R2" s="262"/>
      <c r="S2" s="262"/>
      <c r="T2" s="263"/>
      <c r="U2" s="35">
        <v>27</v>
      </c>
      <c r="V2" s="80"/>
    </row>
    <row r="3" spans="1:30" ht="15" x14ac:dyDescent="0.2">
      <c r="A3" s="257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 t="s">
        <v>177</v>
      </c>
      <c r="N3" s="258"/>
      <c r="O3" s="258"/>
      <c r="P3" s="258"/>
      <c r="Q3" s="258"/>
      <c r="R3" s="258"/>
      <c r="S3" s="258"/>
      <c r="T3" s="258"/>
      <c r="U3" s="36" t="s">
        <v>181</v>
      </c>
      <c r="V3" s="91"/>
    </row>
    <row r="4" spans="1:30" ht="14.25" x14ac:dyDescent="0.2">
      <c r="A4" s="257" t="s">
        <v>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64" t="s">
        <v>178</v>
      </c>
      <c r="N4" s="265"/>
      <c r="O4" s="265"/>
      <c r="P4" s="265"/>
      <c r="Q4" s="265"/>
      <c r="R4" s="265"/>
      <c r="S4" s="265"/>
      <c r="T4" s="266"/>
      <c r="U4" s="16"/>
      <c r="V4" s="66"/>
    </row>
    <row r="5" spans="1:30" ht="14.25" x14ac:dyDescent="0.2">
      <c r="A5" s="259" t="s">
        <v>48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64" t="s">
        <v>179</v>
      </c>
      <c r="N5" s="265"/>
      <c r="O5" s="265"/>
      <c r="P5" s="265"/>
      <c r="Q5" s="265"/>
      <c r="R5" s="265"/>
      <c r="S5" s="265"/>
      <c r="T5" s="266"/>
      <c r="U5" s="16"/>
      <c r="V5" s="66"/>
    </row>
    <row r="6" spans="1:30" ht="15" x14ac:dyDescent="0.2">
      <c r="A6" s="257" t="s">
        <v>26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72" t="s">
        <v>166</v>
      </c>
      <c r="N6" s="272"/>
      <c r="O6" s="272"/>
      <c r="P6" s="272"/>
      <c r="Q6" s="272"/>
      <c r="R6" s="272"/>
      <c r="S6" s="272"/>
      <c r="T6" s="272"/>
      <c r="U6" s="36" t="s">
        <v>52</v>
      </c>
      <c r="V6" s="91"/>
    </row>
    <row r="7" spans="1:30" ht="14.25" x14ac:dyDescent="0.2">
      <c r="A7" s="257" t="s">
        <v>45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8">
        <v>20</v>
      </c>
      <c r="N7" s="258"/>
      <c r="O7" s="258"/>
      <c r="P7" s="258"/>
      <c r="Q7" s="258"/>
      <c r="R7" s="258"/>
      <c r="S7" s="258"/>
      <c r="T7" s="258"/>
      <c r="U7" s="34"/>
      <c r="V7" s="81"/>
    </row>
    <row r="8" spans="1:30" ht="14.25" x14ac:dyDescent="0.2">
      <c r="A8" s="259" t="s">
        <v>2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60" t="s">
        <v>185</v>
      </c>
      <c r="N8" s="260"/>
      <c r="O8" s="260"/>
      <c r="P8" s="260"/>
      <c r="Q8" s="260"/>
      <c r="R8" s="260"/>
      <c r="S8" s="260"/>
      <c r="T8" s="260"/>
      <c r="U8" s="29"/>
      <c r="V8" s="82"/>
    </row>
    <row r="9" spans="1:30" ht="12.75" customHeight="1" thickBot="1" x14ac:dyDescent="0.25">
      <c r="A9" s="267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9"/>
      <c r="N9" s="269"/>
      <c r="O9" s="269"/>
      <c r="P9" s="269"/>
      <c r="Q9" s="269"/>
      <c r="R9" s="269"/>
      <c r="S9" s="269"/>
      <c r="T9" s="269"/>
      <c r="U9" s="269"/>
      <c r="V9" s="62"/>
    </row>
    <row r="10" spans="1:30" ht="15" customHeight="1" x14ac:dyDescent="0.25">
      <c r="A10" s="301" t="s">
        <v>3</v>
      </c>
      <c r="B10" s="299" t="s">
        <v>37</v>
      </c>
      <c r="C10" s="299"/>
      <c r="D10" s="299"/>
      <c r="E10" s="299"/>
      <c r="F10" s="251" t="s">
        <v>137</v>
      </c>
      <c r="G10" s="253" t="s">
        <v>51</v>
      </c>
      <c r="H10" s="255" t="s">
        <v>39</v>
      </c>
      <c r="I10" s="255"/>
      <c r="J10" s="255"/>
      <c r="K10" s="255"/>
      <c r="L10" s="255"/>
      <c r="M10" s="255"/>
      <c r="N10" s="270" t="s">
        <v>38</v>
      </c>
      <c r="O10" s="291" t="s">
        <v>40</v>
      </c>
      <c r="P10" s="291"/>
      <c r="Q10" s="291"/>
      <c r="R10" s="291"/>
      <c r="S10" s="291"/>
      <c r="T10" s="307" t="s">
        <v>41</v>
      </c>
      <c r="U10" s="253" t="s">
        <v>126</v>
      </c>
      <c r="V10" s="253" t="s">
        <v>138</v>
      </c>
      <c r="W10" s="303" t="s">
        <v>127</v>
      </c>
      <c r="Y10" s="10"/>
      <c r="Z10" s="10"/>
      <c r="AA10" s="10"/>
      <c r="AB10" s="10"/>
      <c r="AC10" s="10"/>
    </row>
    <row r="11" spans="1:30" ht="59.25" customHeight="1" x14ac:dyDescent="0.2">
      <c r="A11" s="302"/>
      <c r="B11" s="300"/>
      <c r="C11" s="300"/>
      <c r="D11" s="300"/>
      <c r="E11" s="300"/>
      <c r="F11" s="252"/>
      <c r="G11" s="254"/>
      <c r="H11" s="84">
        <v>1</v>
      </c>
      <c r="I11" s="21">
        <v>2</v>
      </c>
      <c r="J11" s="21">
        <v>3</v>
      </c>
      <c r="K11" s="21">
        <v>4</v>
      </c>
      <c r="L11" s="21">
        <v>5</v>
      </c>
      <c r="M11" s="21">
        <v>6</v>
      </c>
      <c r="N11" s="271"/>
      <c r="O11" s="22">
        <v>7</v>
      </c>
      <c r="P11" s="22">
        <v>8</v>
      </c>
      <c r="Q11" s="22">
        <v>9</v>
      </c>
      <c r="R11" s="22">
        <v>10</v>
      </c>
      <c r="S11" s="22">
        <v>11</v>
      </c>
      <c r="T11" s="308"/>
      <c r="U11" s="254"/>
      <c r="V11" s="254"/>
      <c r="W11" s="304"/>
      <c r="Y11" s="305" t="s">
        <v>93</v>
      </c>
      <c r="Z11" s="306"/>
      <c r="AA11" s="298" t="s">
        <v>95</v>
      </c>
      <c r="AB11" s="298"/>
      <c r="AC11" s="10"/>
      <c r="AD11" s="9"/>
    </row>
    <row r="12" spans="1:30" ht="15" x14ac:dyDescent="0.25">
      <c r="A12" s="119">
        <v>1</v>
      </c>
      <c r="B12" s="85">
        <f>$U$2</f>
        <v>27</v>
      </c>
      <c r="C12" s="86" t="str">
        <f>$U$3</f>
        <v>138075</v>
      </c>
      <c r="D12" s="87" t="str">
        <f>$U$6</f>
        <v>0101</v>
      </c>
      <c r="E12" s="88" t="s">
        <v>53</v>
      </c>
      <c r="F12" s="101">
        <v>1</v>
      </c>
      <c r="G12" s="89" t="s">
        <v>183</v>
      </c>
      <c r="H12" s="93">
        <v>64</v>
      </c>
      <c r="I12" s="14">
        <v>1</v>
      </c>
      <c r="J12" s="14">
        <v>0</v>
      </c>
      <c r="K12" s="14">
        <v>1</v>
      </c>
      <c r="L12" s="14">
        <v>0</v>
      </c>
      <c r="M12" s="14">
        <v>0</v>
      </c>
      <c r="N12" s="20">
        <f t="shared" ref="N12:N46" si="0">SUM(I12:M12)</f>
        <v>2</v>
      </c>
      <c r="O12" s="18">
        <v>0</v>
      </c>
      <c r="P12" s="18">
        <v>1</v>
      </c>
      <c r="Q12" s="18">
        <v>1</v>
      </c>
      <c r="R12" s="18">
        <v>0</v>
      </c>
      <c r="S12" s="18" t="s">
        <v>190</v>
      </c>
      <c r="T12" s="19">
        <f>SUM(O12:S12)</f>
        <v>2</v>
      </c>
      <c r="U12" s="83" t="str">
        <f>IF(G12&lt;&gt;"",(IF(F12=1,(IF(AND(H12&gt;=40,N12&gt;=5),"БУ","ГР")),(IF(AND(H12&gt;=20,N12&gt;=4),"БУ","ГР")))),"отсутствует")</f>
        <v>ГР</v>
      </c>
      <c r="V12" s="83" t="str">
        <f>IF(G12&lt;&gt;"",(IF(AND(U12="БУ",T12&gt;=3),"достиг","-")),"отсутствует")</f>
        <v>-</v>
      </c>
      <c r="W12" s="120" t="str">
        <f>IF(G12&lt;&gt;"",IF(AA12=AB12,"совпадение",IF(AA12&lt;AB12,"занижено","завышено")),"оценки нет")</f>
        <v>совпадение</v>
      </c>
      <c r="X12" s="51">
        <f>$N$48</f>
        <v>2.6470588235294117</v>
      </c>
      <c r="Y12" s="52">
        <f>N12/5</f>
        <v>0.4</v>
      </c>
      <c r="Z12" s="52">
        <f>$N$50</f>
        <v>0.52941176470588236</v>
      </c>
      <c r="AA12" s="10">
        <f t="shared" ref="AA12:AA46" si="1">IF(G12="ГР",1,IF(G12="БУ",2,IF(G12="ПБ",3)))</f>
        <v>1</v>
      </c>
      <c r="AB12" s="10">
        <f>IF(U12="ГР",1,IF(U12="БУ",2,IF(U12="ПБ",3)))</f>
        <v>1</v>
      </c>
      <c r="AC12" s="10">
        <f>IF(AND(U12="БУ",V12="-"),1,0)</f>
        <v>0</v>
      </c>
      <c r="AD12" s="9"/>
    </row>
    <row r="13" spans="1:30" ht="15" x14ac:dyDescent="0.25">
      <c r="A13" s="119">
        <v>2</v>
      </c>
      <c r="B13" s="85">
        <f t="shared" ref="B13:B46" si="2">$U$2</f>
        <v>27</v>
      </c>
      <c r="C13" s="86" t="str">
        <f t="shared" ref="C13:C46" si="3">$U$3</f>
        <v>138075</v>
      </c>
      <c r="D13" s="87" t="str">
        <f t="shared" ref="D13:D46" si="4">$U$6</f>
        <v>0101</v>
      </c>
      <c r="E13" s="88" t="s">
        <v>54</v>
      </c>
      <c r="F13" s="101">
        <v>1</v>
      </c>
      <c r="G13" s="89" t="s">
        <v>182</v>
      </c>
      <c r="H13" s="93">
        <v>65</v>
      </c>
      <c r="I13" s="14">
        <v>1</v>
      </c>
      <c r="J13" s="14">
        <v>1</v>
      </c>
      <c r="K13" s="14">
        <v>0</v>
      </c>
      <c r="L13" s="14">
        <v>1</v>
      </c>
      <c r="M13" s="14">
        <v>1</v>
      </c>
      <c r="N13" s="20">
        <f t="shared" si="0"/>
        <v>4</v>
      </c>
      <c r="O13" s="18">
        <v>0</v>
      </c>
      <c r="P13" s="18">
        <v>1</v>
      </c>
      <c r="Q13" s="18">
        <v>1</v>
      </c>
      <c r="R13" s="18">
        <v>0</v>
      </c>
      <c r="S13" s="18">
        <v>1</v>
      </c>
      <c r="T13" s="19">
        <f t="shared" ref="T13:T46" si="5">SUM(O13:S13)</f>
        <v>3</v>
      </c>
      <c r="U13" s="83" t="str">
        <f t="shared" ref="U13:U33" si="6">IF(G13&lt;&gt;"",(IF(F13=1,(IF(AND(H13&gt;=40,N13&gt;=5),"БУ","ГР")),(IF(AND(H13&gt;=20,N13&gt;=4),"БУ","ГР")))),"отсутствует")</f>
        <v>ГР</v>
      </c>
      <c r="V13" s="83" t="str">
        <f t="shared" ref="V13:V46" si="7">IF(G13&lt;&gt;"",(IF(AND(U13="БУ",T13&gt;=3),"достиг","-")),"отсутствует")</f>
        <v>-</v>
      </c>
      <c r="W13" s="120" t="str">
        <f t="shared" ref="W13:W46" si="8">IF(G13&lt;&gt;"",IF(AA13=AB13,"совпадение",IF(AA13&lt;AB13,"занижено","завышено")),"оценки нет")</f>
        <v>завышено</v>
      </c>
      <c r="X13" s="51">
        <f t="shared" ref="X13:X46" si="9">$N$48</f>
        <v>2.6470588235294117</v>
      </c>
      <c r="Y13" s="52">
        <f t="shared" ref="Y13:Y46" si="10">N13/5</f>
        <v>0.8</v>
      </c>
      <c r="Z13" s="52">
        <f t="shared" ref="Z13:Z46" si="11">$N$50</f>
        <v>0.52941176470588236</v>
      </c>
      <c r="AA13" s="10">
        <f t="shared" si="1"/>
        <v>2</v>
      </c>
      <c r="AB13" s="10">
        <f t="shared" ref="AB13:AB46" si="12">IF(U13="ГР",1,IF(U13="БУ",2,IF(U13="ПБ",3)))</f>
        <v>1</v>
      </c>
      <c r="AC13" s="10">
        <f t="shared" ref="AC13:AC46" si="13">IF(AND(U13="БУ",V13="-"),1,0)</f>
        <v>0</v>
      </c>
      <c r="AD13" s="9"/>
    </row>
    <row r="14" spans="1:30" ht="15" x14ac:dyDescent="0.25">
      <c r="A14" s="119">
        <v>3</v>
      </c>
      <c r="B14" s="85">
        <f t="shared" si="2"/>
        <v>27</v>
      </c>
      <c r="C14" s="86" t="str">
        <f t="shared" si="3"/>
        <v>138075</v>
      </c>
      <c r="D14" s="87" t="str">
        <f t="shared" si="4"/>
        <v>0101</v>
      </c>
      <c r="E14" s="88" t="s">
        <v>55</v>
      </c>
      <c r="F14" s="101">
        <v>0</v>
      </c>
      <c r="G14" s="89" t="s">
        <v>191</v>
      </c>
      <c r="H14" s="93">
        <v>29</v>
      </c>
      <c r="I14" s="14">
        <v>1</v>
      </c>
      <c r="J14" s="14">
        <v>0</v>
      </c>
      <c r="K14" s="14">
        <v>1</v>
      </c>
      <c r="L14" s="14">
        <v>1</v>
      </c>
      <c r="M14" s="14" t="s">
        <v>190</v>
      </c>
      <c r="N14" s="20">
        <f t="shared" si="0"/>
        <v>3</v>
      </c>
      <c r="O14" s="18">
        <v>0</v>
      </c>
      <c r="P14" s="18">
        <v>1</v>
      </c>
      <c r="Q14" s="18">
        <v>1</v>
      </c>
      <c r="R14" s="18">
        <v>1</v>
      </c>
      <c r="S14" s="18">
        <v>0</v>
      </c>
      <c r="T14" s="19">
        <f t="shared" si="5"/>
        <v>3</v>
      </c>
      <c r="U14" s="83" t="str">
        <f t="shared" si="6"/>
        <v>ГР</v>
      </c>
      <c r="V14" s="83" t="str">
        <f t="shared" si="7"/>
        <v>-</v>
      </c>
      <c r="W14" s="120" t="str">
        <f t="shared" si="8"/>
        <v>завышено</v>
      </c>
      <c r="X14" s="51">
        <f t="shared" si="9"/>
        <v>2.6470588235294117</v>
      </c>
      <c r="Y14" s="52">
        <f t="shared" si="10"/>
        <v>0.6</v>
      </c>
      <c r="Z14" s="52">
        <f t="shared" si="11"/>
        <v>0.52941176470588236</v>
      </c>
      <c r="AA14" s="10" t="b">
        <f t="shared" si="1"/>
        <v>0</v>
      </c>
      <c r="AB14" s="10">
        <f t="shared" si="12"/>
        <v>1</v>
      </c>
      <c r="AC14" s="10">
        <f t="shared" si="13"/>
        <v>0</v>
      </c>
      <c r="AD14" s="9"/>
    </row>
    <row r="15" spans="1:30" ht="15" x14ac:dyDescent="0.25">
      <c r="A15" s="119">
        <v>4</v>
      </c>
      <c r="B15" s="85">
        <f t="shared" si="2"/>
        <v>27</v>
      </c>
      <c r="C15" s="86" t="str">
        <f t="shared" si="3"/>
        <v>138075</v>
      </c>
      <c r="D15" s="87" t="str">
        <f t="shared" si="4"/>
        <v>0101</v>
      </c>
      <c r="E15" s="88" t="s">
        <v>56</v>
      </c>
      <c r="F15" s="101">
        <v>0</v>
      </c>
      <c r="G15" s="89" t="s">
        <v>191</v>
      </c>
      <c r="H15" s="93">
        <v>39</v>
      </c>
      <c r="I15" s="14">
        <v>1</v>
      </c>
      <c r="J15" s="14">
        <v>1</v>
      </c>
      <c r="K15" s="14">
        <v>1</v>
      </c>
      <c r="L15" s="14">
        <v>0</v>
      </c>
      <c r="M15" s="14">
        <v>0</v>
      </c>
      <c r="N15" s="20">
        <f>SUM(I15:M15)</f>
        <v>3</v>
      </c>
      <c r="O15" s="18">
        <v>0</v>
      </c>
      <c r="P15" s="18">
        <v>1</v>
      </c>
      <c r="Q15" s="18">
        <v>0</v>
      </c>
      <c r="R15" s="18">
        <v>0</v>
      </c>
      <c r="S15" s="18">
        <v>0</v>
      </c>
      <c r="T15" s="19">
        <f t="shared" si="5"/>
        <v>1</v>
      </c>
      <c r="U15" s="83" t="str">
        <f t="shared" si="6"/>
        <v>ГР</v>
      </c>
      <c r="V15" s="83" t="str">
        <f t="shared" si="7"/>
        <v>-</v>
      </c>
      <c r="W15" s="120" t="str">
        <f t="shared" si="8"/>
        <v>завышено</v>
      </c>
      <c r="X15" s="51">
        <f t="shared" si="9"/>
        <v>2.6470588235294117</v>
      </c>
      <c r="Y15" s="52">
        <f t="shared" si="10"/>
        <v>0.6</v>
      </c>
      <c r="Z15" s="52">
        <f t="shared" si="11"/>
        <v>0.52941176470588236</v>
      </c>
      <c r="AA15" s="10" t="b">
        <f t="shared" si="1"/>
        <v>0</v>
      </c>
      <c r="AB15" s="10">
        <f t="shared" si="12"/>
        <v>1</v>
      </c>
      <c r="AC15" s="10">
        <f t="shared" si="13"/>
        <v>0</v>
      </c>
      <c r="AD15" s="9"/>
    </row>
    <row r="16" spans="1:30" ht="15" x14ac:dyDescent="0.25">
      <c r="A16" s="119">
        <v>5</v>
      </c>
      <c r="B16" s="85">
        <f t="shared" si="2"/>
        <v>27</v>
      </c>
      <c r="C16" s="86" t="str">
        <f t="shared" si="3"/>
        <v>138075</v>
      </c>
      <c r="D16" s="87" t="str">
        <f t="shared" si="4"/>
        <v>0101</v>
      </c>
      <c r="E16" s="88" t="s">
        <v>57</v>
      </c>
      <c r="F16" s="101" t="s">
        <v>186</v>
      </c>
      <c r="G16" s="89"/>
      <c r="H16" s="93"/>
      <c r="I16" s="14"/>
      <c r="J16" s="14"/>
      <c r="K16" s="14"/>
      <c r="L16" s="14"/>
      <c r="M16" s="14"/>
      <c r="N16" s="20"/>
      <c r="O16" s="18"/>
      <c r="P16" s="18"/>
      <c r="Q16" s="18"/>
      <c r="R16" s="18"/>
      <c r="S16" s="18"/>
      <c r="T16" s="19">
        <f t="shared" si="5"/>
        <v>0</v>
      </c>
      <c r="U16" s="83" t="str">
        <f t="shared" si="6"/>
        <v>отсутствует</v>
      </c>
      <c r="V16" s="83" t="str">
        <f t="shared" si="7"/>
        <v>отсутствует</v>
      </c>
      <c r="W16" s="120" t="str">
        <f t="shared" si="8"/>
        <v>оценки нет</v>
      </c>
      <c r="X16" s="51">
        <f t="shared" si="9"/>
        <v>2.6470588235294117</v>
      </c>
      <c r="Y16" s="52">
        <f t="shared" si="10"/>
        <v>0</v>
      </c>
      <c r="Z16" s="52">
        <f t="shared" si="11"/>
        <v>0.52941176470588236</v>
      </c>
      <c r="AA16" s="10" t="b">
        <f t="shared" si="1"/>
        <v>0</v>
      </c>
      <c r="AB16" s="10" t="b">
        <f t="shared" si="12"/>
        <v>0</v>
      </c>
      <c r="AC16" s="10">
        <f t="shared" si="13"/>
        <v>0</v>
      </c>
      <c r="AD16" s="9"/>
    </row>
    <row r="17" spans="1:30" ht="15" x14ac:dyDescent="0.25">
      <c r="A17" s="119">
        <v>6</v>
      </c>
      <c r="B17" s="85">
        <f t="shared" si="2"/>
        <v>27</v>
      </c>
      <c r="C17" s="86" t="str">
        <f t="shared" si="3"/>
        <v>138075</v>
      </c>
      <c r="D17" s="87" t="str">
        <f t="shared" si="4"/>
        <v>0101</v>
      </c>
      <c r="E17" s="88" t="s">
        <v>58</v>
      </c>
      <c r="F17" s="101">
        <v>1</v>
      </c>
      <c r="G17" s="89" t="s">
        <v>191</v>
      </c>
      <c r="H17" s="93">
        <v>69</v>
      </c>
      <c r="I17" s="14">
        <v>1</v>
      </c>
      <c r="J17" s="14">
        <v>1</v>
      </c>
      <c r="K17" s="14">
        <v>0</v>
      </c>
      <c r="L17" s="14">
        <v>0</v>
      </c>
      <c r="M17" s="14">
        <v>0</v>
      </c>
      <c r="N17" s="20">
        <f t="shared" si="0"/>
        <v>2</v>
      </c>
      <c r="O17" s="18">
        <v>0</v>
      </c>
      <c r="P17" s="18">
        <v>1</v>
      </c>
      <c r="Q17" s="18">
        <v>1</v>
      </c>
      <c r="R17" s="18">
        <v>1</v>
      </c>
      <c r="S17" s="18">
        <v>1</v>
      </c>
      <c r="T17" s="19">
        <f t="shared" si="5"/>
        <v>4</v>
      </c>
      <c r="U17" s="83" t="str">
        <f t="shared" si="6"/>
        <v>ГР</v>
      </c>
      <c r="V17" s="83" t="str">
        <f t="shared" si="7"/>
        <v>-</v>
      </c>
      <c r="W17" s="120" t="str">
        <f t="shared" si="8"/>
        <v>завышено</v>
      </c>
      <c r="X17" s="51">
        <f t="shared" si="9"/>
        <v>2.6470588235294117</v>
      </c>
      <c r="Y17" s="52">
        <f t="shared" si="10"/>
        <v>0.4</v>
      </c>
      <c r="Z17" s="52">
        <f t="shared" si="11"/>
        <v>0.52941176470588236</v>
      </c>
      <c r="AA17" s="10" t="b">
        <f t="shared" si="1"/>
        <v>0</v>
      </c>
      <c r="AB17" s="10">
        <f t="shared" si="12"/>
        <v>1</v>
      </c>
      <c r="AC17" s="10">
        <f t="shared" si="13"/>
        <v>0</v>
      </c>
      <c r="AD17" s="9"/>
    </row>
    <row r="18" spans="1:30" ht="15" x14ac:dyDescent="0.25">
      <c r="A18" s="119">
        <v>7</v>
      </c>
      <c r="B18" s="85">
        <f t="shared" si="2"/>
        <v>27</v>
      </c>
      <c r="C18" s="86" t="str">
        <f t="shared" si="3"/>
        <v>138075</v>
      </c>
      <c r="D18" s="87" t="str">
        <f t="shared" si="4"/>
        <v>0101</v>
      </c>
      <c r="E18" s="88" t="s">
        <v>59</v>
      </c>
      <c r="F18" s="101"/>
      <c r="G18" s="89"/>
      <c r="H18" s="93"/>
      <c r="I18" s="14"/>
      <c r="J18" s="14"/>
      <c r="K18" s="14"/>
      <c r="L18" s="14"/>
      <c r="M18" s="14"/>
      <c r="N18" s="20"/>
      <c r="O18" s="18"/>
      <c r="P18" s="18"/>
      <c r="Q18" s="18"/>
      <c r="R18" s="18"/>
      <c r="S18" s="18"/>
      <c r="T18" s="19">
        <f t="shared" si="5"/>
        <v>0</v>
      </c>
      <c r="U18" s="83" t="str">
        <f t="shared" si="6"/>
        <v>отсутствует</v>
      </c>
      <c r="V18" s="83" t="str">
        <f t="shared" si="7"/>
        <v>отсутствует</v>
      </c>
      <c r="W18" s="120" t="str">
        <f t="shared" si="8"/>
        <v>оценки нет</v>
      </c>
      <c r="X18" s="51">
        <f t="shared" si="9"/>
        <v>2.6470588235294117</v>
      </c>
      <c r="Y18" s="52">
        <f t="shared" si="10"/>
        <v>0</v>
      </c>
      <c r="Z18" s="52">
        <f t="shared" si="11"/>
        <v>0.52941176470588236</v>
      </c>
      <c r="AA18" s="10" t="b">
        <f t="shared" si="1"/>
        <v>0</v>
      </c>
      <c r="AB18" s="10" t="b">
        <f t="shared" si="12"/>
        <v>0</v>
      </c>
      <c r="AC18" s="10">
        <f t="shared" si="13"/>
        <v>0</v>
      </c>
      <c r="AD18" s="9"/>
    </row>
    <row r="19" spans="1:30" ht="15" x14ac:dyDescent="0.25">
      <c r="A19" s="119">
        <v>8</v>
      </c>
      <c r="B19" s="85">
        <f t="shared" si="2"/>
        <v>27</v>
      </c>
      <c r="C19" s="86" t="str">
        <f t="shared" si="3"/>
        <v>138075</v>
      </c>
      <c r="D19" s="87" t="str">
        <f t="shared" si="4"/>
        <v>0101</v>
      </c>
      <c r="E19" s="88" t="s">
        <v>60</v>
      </c>
      <c r="F19" s="101">
        <v>0</v>
      </c>
      <c r="G19" s="89" t="s">
        <v>191</v>
      </c>
      <c r="H19" s="93">
        <v>25</v>
      </c>
      <c r="I19" s="14">
        <v>1</v>
      </c>
      <c r="J19" s="14">
        <v>1</v>
      </c>
      <c r="K19" s="14">
        <v>1</v>
      </c>
      <c r="L19" s="14">
        <v>0</v>
      </c>
      <c r="M19" s="14">
        <v>0</v>
      </c>
      <c r="N19" s="20">
        <f t="shared" si="0"/>
        <v>3</v>
      </c>
      <c r="O19" s="18">
        <v>0</v>
      </c>
      <c r="P19" s="18">
        <v>1</v>
      </c>
      <c r="Q19" s="18">
        <v>0</v>
      </c>
      <c r="R19" s="18">
        <v>0</v>
      </c>
      <c r="S19" s="18">
        <v>0</v>
      </c>
      <c r="T19" s="19">
        <f t="shared" si="5"/>
        <v>1</v>
      </c>
      <c r="U19" s="83" t="str">
        <f t="shared" si="6"/>
        <v>ГР</v>
      </c>
      <c r="V19" s="83" t="str">
        <f t="shared" si="7"/>
        <v>-</v>
      </c>
      <c r="W19" s="120" t="str">
        <f t="shared" si="8"/>
        <v>завышено</v>
      </c>
      <c r="X19" s="51">
        <f t="shared" si="9"/>
        <v>2.6470588235294117</v>
      </c>
      <c r="Y19" s="52">
        <f t="shared" si="10"/>
        <v>0.6</v>
      </c>
      <c r="Z19" s="52">
        <f t="shared" si="11"/>
        <v>0.52941176470588236</v>
      </c>
      <c r="AA19" s="10" t="b">
        <f t="shared" si="1"/>
        <v>0</v>
      </c>
      <c r="AB19" s="10">
        <f t="shared" si="12"/>
        <v>1</v>
      </c>
      <c r="AC19" s="10">
        <f t="shared" si="13"/>
        <v>0</v>
      </c>
      <c r="AD19" s="9"/>
    </row>
    <row r="20" spans="1:30" ht="15" x14ac:dyDescent="0.25">
      <c r="A20" s="119">
        <v>9</v>
      </c>
      <c r="B20" s="85">
        <f t="shared" si="2"/>
        <v>27</v>
      </c>
      <c r="C20" s="86" t="str">
        <f t="shared" si="3"/>
        <v>138075</v>
      </c>
      <c r="D20" s="87" t="str">
        <f t="shared" si="4"/>
        <v>0101</v>
      </c>
      <c r="E20" s="88" t="s">
        <v>61</v>
      </c>
      <c r="F20" s="101">
        <v>1</v>
      </c>
      <c r="G20" s="89" t="s">
        <v>191</v>
      </c>
      <c r="H20" s="93">
        <v>48</v>
      </c>
      <c r="I20" s="14">
        <v>1</v>
      </c>
      <c r="J20" s="14">
        <v>1</v>
      </c>
      <c r="K20" s="14">
        <v>1</v>
      </c>
      <c r="L20" s="14">
        <v>0</v>
      </c>
      <c r="M20" s="14">
        <v>0</v>
      </c>
      <c r="N20" s="20">
        <f t="shared" si="0"/>
        <v>3</v>
      </c>
      <c r="O20" s="18" t="s">
        <v>190</v>
      </c>
      <c r="P20" s="18">
        <v>1</v>
      </c>
      <c r="Q20" s="18">
        <v>0</v>
      </c>
      <c r="R20" s="18">
        <v>0</v>
      </c>
      <c r="S20" s="18" t="s">
        <v>190</v>
      </c>
      <c r="T20" s="19">
        <f t="shared" si="5"/>
        <v>1</v>
      </c>
      <c r="U20" s="83" t="str">
        <f t="shared" si="6"/>
        <v>ГР</v>
      </c>
      <c r="V20" s="83" t="str">
        <f t="shared" si="7"/>
        <v>-</v>
      </c>
      <c r="W20" s="120" t="str">
        <f t="shared" si="8"/>
        <v>завышено</v>
      </c>
      <c r="X20" s="51">
        <f t="shared" si="9"/>
        <v>2.6470588235294117</v>
      </c>
      <c r="Y20" s="52">
        <f t="shared" si="10"/>
        <v>0.6</v>
      </c>
      <c r="Z20" s="52">
        <f t="shared" si="11"/>
        <v>0.52941176470588236</v>
      </c>
      <c r="AA20" s="10" t="b">
        <f t="shared" si="1"/>
        <v>0</v>
      </c>
      <c r="AB20" s="10">
        <f t="shared" si="12"/>
        <v>1</v>
      </c>
      <c r="AC20" s="10">
        <f t="shared" si="13"/>
        <v>0</v>
      </c>
      <c r="AD20" s="9"/>
    </row>
    <row r="21" spans="1:30" ht="15" x14ac:dyDescent="0.25">
      <c r="A21" s="119">
        <v>10</v>
      </c>
      <c r="B21" s="85">
        <f t="shared" si="2"/>
        <v>27</v>
      </c>
      <c r="C21" s="86" t="str">
        <f t="shared" si="3"/>
        <v>138075</v>
      </c>
      <c r="D21" s="87" t="str">
        <f t="shared" si="4"/>
        <v>0101</v>
      </c>
      <c r="E21" s="88" t="s">
        <v>62</v>
      </c>
      <c r="F21" s="101">
        <v>1</v>
      </c>
      <c r="G21" s="89" t="s">
        <v>182</v>
      </c>
      <c r="H21" s="93">
        <v>82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20">
        <f t="shared" si="0"/>
        <v>5</v>
      </c>
      <c r="O21" s="18">
        <v>0</v>
      </c>
      <c r="P21" s="18">
        <v>1</v>
      </c>
      <c r="Q21" s="18">
        <v>1</v>
      </c>
      <c r="R21" s="18">
        <v>0</v>
      </c>
      <c r="S21" s="18">
        <v>0</v>
      </c>
      <c r="T21" s="19">
        <f t="shared" si="5"/>
        <v>2</v>
      </c>
      <c r="U21" s="83" t="str">
        <f t="shared" si="6"/>
        <v>БУ</v>
      </c>
      <c r="V21" s="83" t="str">
        <f t="shared" si="7"/>
        <v>-</v>
      </c>
      <c r="W21" s="120" t="str">
        <f t="shared" si="8"/>
        <v>совпадение</v>
      </c>
      <c r="X21" s="51">
        <f t="shared" si="9"/>
        <v>2.6470588235294117</v>
      </c>
      <c r="Y21" s="52">
        <f t="shared" si="10"/>
        <v>1</v>
      </c>
      <c r="Z21" s="52">
        <f t="shared" si="11"/>
        <v>0.52941176470588236</v>
      </c>
      <c r="AA21" s="10">
        <f t="shared" si="1"/>
        <v>2</v>
      </c>
      <c r="AB21" s="10">
        <f t="shared" si="12"/>
        <v>2</v>
      </c>
      <c r="AC21" s="10">
        <f t="shared" si="13"/>
        <v>1</v>
      </c>
      <c r="AD21" s="9"/>
    </row>
    <row r="22" spans="1:30" ht="15" x14ac:dyDescent="0.25">
      <c r="A22" s="119">
        <v>11</v>
      </c>
      <c r="B22" s="85">
        <f t="shared" si="2"/>
        <v>27</v>
      </c>
      <c r="C22" s="86" t="str">
        <f t="shared" si="3"/>
        <v>138075</v>
      </c>
      <c r="D22" s="87" t="str">
        <f t="shared" si="4"/>
        <v>0101</v>
      </c>
      <c r="E22" s="88" t="s">
        <v>63</v>
      </c>
      <c r="F22" s="101">
        <v>0</v>
      </c>
      <c r="G22" s="89" t="s">
        <v>183</v>
      </c>
      <c r="H22" s="93">
        <v>14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20">
        <f t="shared" si="0"/>
        <v>0</v>
      </c>
      <c r="O22" s="18">
        <v>0</v>
      </c>
      <c r="P22" s="18">
        <v>1</v>
      </c>
      <c r="Q22" s="18">
        <v>0</v>
      </c>
      <c r="R22" s="18">
        <v>0</v>
      </c>
      <c r="S22" s="18" t="s">
        <v>190</v>
      </c>
      <c r="T22" s="19">
        <f t="shared" si="5"/>
        <v>1</v>
      </c>
      <c r="U22" s="83" t="str">
        <f t="shared" si="6"/>
        <v>ГР</v>
      </c>
      <c r="V22" s="83" t="str">
        <f t="shared" si="7"/>
        <v>-</v>
      </c>
      <c r="W22" s="120" t="str">
        <f t="shared" si="8"/>
        <v>совпадение</v>
      </c>
      <c r="X22" s="51">
        <f t="shared" si="9"/>
        <v>2.6470588235294117</v>
      </c>
      <c r="Y22" s="52">
        <f t="shared" si="10"/>
        <v>0</v>
      </c>
      <c r="Z22" s="52">
        <f t="shared" si="11"/>
        <v>0.52941176470588236</v>
      </c>
      <c r="AA22" s="10">
        <f t="shared" si="1"/>
        <v>1</v>
      </c>
      <c r="AB22" s="10">
        <f t="shared" si="12"/>
        <v>1</v>
      </c>
      <c r="AC22" s="10">
        <f t="shared" si="13"/>
        <v>0</v>
      </c>
      <c r="AD22" s="9"/>
    </row>
    <row r="23" spans="1:30" ht="15" x14ac:dyDescent="0.25">
      <c r="A23" s="119">
        <v>12</v>
      </c>
      <c r="B23" s="85">
        <f t="shared" si="2"/>
        <v>27</v>
      </c>
      <c r="C23" s="86" t="str">
        <f t="shared" si="3"/>
        <v>138075</v>
      </c>
      <c r="D23" s="87" t="str">
        <f t="shared" si="4"/>
        <v>0101</v>
      </c>
      <c r="E23" s="88" t="s">
        <v>64</v>
      </c>
      <c r="F23" s="101">
        <v>1</v>
      </c>
      <c r="G23" s="89" t="s">
        <v>182</v>
      </c>
      <c r="H23" s="93">
        <v>82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20">
        <f t="shared" si="0"/>
        <v>5</v>
      </c>
      <c r="O23" s="18">
        <v>0</v>
      </c>
      <c r="P23" s="18">
        <v>1</v>
      </c>
      <c r="Q23" s="18">
        <v>1</v>
      </c>
      <c r="R23" s="18">
        <v>1</v>
      </c>
      <c r="S23" s="18">
        <v>1</v>
      </c>
      <c r="T23" s="19">
        <f t="shared" si="5"/>
        <v>4</v>
      </c>
      <c r="U23" s="83" t="str">
        <f t="shared" si="6"/>
        <v>БУ</v>
      </c>
      <c r="V23" s="83" t="str">
        <f t="shared" si="7"/>
        <v>достиг</v>
      </c>
      <c r="W23" s="120" t="str">
        <f t="shared" si="8"/>
        <v>совпадение</v>
      </c>
      <c r="X23" s="51">
        <f t="shared" si="9"/>
        <v>2.6470588235294117</v>
      </c>
      <c r="Y23" s="52">
        <f t="shared" si="10"/>
        <v>1</v>
      </c>
      <c r="Z23" s="52">
        <f t="shared" si="11"/>
        <v>0.52941176470588236</v>
      </c>
      <c r="AA23" s="10">
        <f t="shared" si="1"/>
        <v>2</v>
      </c>
      <c r="AB23" s="10">
        <f t="shared" si="12"/>
        <v>2</v>
      </c>
      <c r="AC23" s="10">
        <f t="shared" si="13"/>
        <v>0</v>
      </c>
      <c r="AD23" s="9"/>
    </row>
    <row r="24" spans="1:30" ht="15" x14ac:dyDescent="0.25">
      <c r="A24" s="119">
        <v>13</v>
      </c>
      <c r="B24" s="85">
        <f t="shared" si="2"/>
        <v>27</v>
      </c>
      <c r="C24" s="86" t="str">
        <f t="shared" si="3"/>
        <v>138075</v>
      </c>
      <c r="D24" s="87" t="str">
        <f t="shared" si="4"/>
        <v>0101</v>
      </c>
      <c r="E24" s="88" t="s">
        <v>65</v>
      </c>
      <c r="F24" s="101">
        <v>0</v>
      </c>
      <c r="G24" s="89" t="s">
        <v>191</v>
      </c>
      <c r="H24" s="93">
        <v>39</v>
      </c>
      <c r="I24" s="14">
        <v>1</v>
      </c>
      <c r="J24" s="14">
        <v>1</v>
      </c>
      <c r="K24" s="14">
        <v>1</v>
      </c>
      <c r="L24" s="14">
        <v>0</v>
      </c>
      <c r="M24" s="14">
        <v>0</v>
      </c>
      <c r="N24" s="20">
        <f t="shared" si="0"/>
        <v>3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9">
        <f t="shared" si="5"/>
        <v>1</v>
      </c>
      <c r="U24" s="83" t="str">
        <f t="shared" si="6"/>
        <v>ГР</v>
      </c>
      <c r="V24" s="83" t="str">
        <f t="shared" si="7"/>
        <v>-</v>
      </c>
      <c r="W24" s="120" t="str">
        <f t="shared" si="8"/>
        <v>завышено</v>
      </c>
      <c r="X24" s="51">
        <f t="shared" si="9"/>
        <v>2.6470588235294117</v>
      </c>
      <c r="Y24" s="52">
        <f t="shared" si="10"/>
        <v>0.6</v>
      </c>
      <c r="Z24" s="52">
        <f t="shared" si="11"/>
        <v>0.52941176470588236</v>
      </c>
      <c r="AA24" s="10" t="b">
        <f t="shared" si="1"/>
        <v>0</v>
      </c>
      <c r="AB24" s="10">
        <f t="shared" si="12"/>
        <v>1</v>
      </c>
      <c r="AC24" s="10">
        <f t="shared" si="13"/>
        <v>0</v>
      </c>
      <c r="AD24" s="9"/>
    </row>
    <row r="25" spans="1:30" ht="15" x14ac:dyDescent="0.25">
      <c r="A25" s="119">
        <v>14</v>
      </c>
      <c r="B25" s="85">
        <f t="shared" si="2"/>
        <v>27</v>
      </c>
      <c r="C25" s="86" t="str">
        <f t="shared" si="3"/>
        <v>138075</v>
      </c>
      <c r="D25" s="87" t="str">
        <f t="shared" si="4"/>
        <v>0101</v>
      </c>
      <c r="E25" s="88" t="s">
        <v>66</v>
      </c>
      <c r="F25" s="101">
        <v>0</v>
      </c>
      <c r="G25" s="89" t="s">
        <v>183</v>
      </c>
      <c r="H25" s="93">
        <v>32</v>
      </c>
      <c r="I25" s="14">
        <v>0</v>
      </c>
      <c r="J25" s="14">
        <v>0</v>
      </c>
      <c r="K25" s="14">
        <v>1</v>
      </c>
      <c r="L25" s="14">
        <v>0</v>
      </c>
      <c r="M25" s="14">
        <v>0</v>
      </c>
      <c r="N25" s="20">
        <f t="shared" si="0"/>
        <v>1</v>
      </c>
      <c r="O25" s="18">
        <v>0</v>
      </c>
      <c r="P25" s="18">
        <v>1</v>
      </c>
      <c r="Q25" s="18">
        <v>0</v>
      </c>
      <c r="R25" s="18">
        <v>0</v>
      </c>
      <c r="S25" s="18">
        <v>0</v>
      </c>
      <c r="T25" s="19">
        <f t="shared" si="5"/>
        <v>1</v>
      </c>
      <c r="U25" s="83" t="str">
        <f t="shared" si="6"/>
        <v>ГР</v>
      </c>
      <c r="V25" s="83" t="str">
        <f t="shared" si="7"/>
        <v>-</v>
      </c>
      <c r="W25" s="120" t="str">
        <f t="shared" si="8"/>
        <v>совпадение</v>
      </c>
      <c r="X25" s="51">
        <f t="shared" si="9"/>
        <v>2.6470588235294117</v>
      </c>
      <c r="Y25" s="52">
        <f t="shared" si="10"/>
        <v>0.2</v>
      </c>
      <c r="Z25" s="52">
        <f t="shared" si="11"/>
        <v>0.52941176470588236</v>
      </c>
      <c r="AA25" s="10">
        <f t="shared" si="1"/>
        <v>1</v>
      </c>
      <c r="AB25" s="10">
        <f t="shared" si="12"/>
        <v>1</v>
      </c>
      <c r="AC25" s="10">
        <f t="shared" si="13"/>
        <v>0</v>
      </c>
      <c r="AD25" s="9"/>
    </row>
    <row r="26" spans="1:30" ht="15" x14ac:dyDescent="0.25">
      <c r="A26" s="119">
        <v>15</v>
      </c>
      <c r="B26" s="85">
        <f t="shared" si="2"/>
        <v>27</v>
      </c>
      <c r="C26" s="86" t="str">
        <f t="shared" si="3"/>
        <v>138075</v>
      </c>
      <c r="D26" s="87" t="str">
        <f t="shared" si="4"/>
        <v>0101</v>
      </c>
      <c r="E26" s="88" t="s">
        <v>67</v>
      </c>
      <c r="F26" s="101">
        <v>1</v>
      </c>
      <c r="G26" s="89" t="s">
        <v>183</v>
      </c>
      <c r="H26" s="93">
        <v>67</v>
      </c>
      <c r="I26" s="14">
        <v>1</v>
      </c>
      <c r="J26" s="14">
        <v>0</v>
      </c>
      <c r="K26" s="14">
        <v>1</v>
      </c>
      <c r="L26" s="14">
        <v>0</v>
      </c>
      <c r="M26" s="14">
        <v>1</v>
      </c>
      <c r="N26" s="20">
        <f t="shared" si="0"/>
        <v>3</v>
      </c>
      <c r="O26" s="18">
        <v>0</v>
      </c>
      <c r="P26" s="18">
        <v>1</v>
      </c>
      <c r="Q26" s="18">
        <v>1</v>
      </c>
      <c r="R26" s="18">
        <v>1</v>
      </c>
      <c r="S26" s="18">
        <v>0</v>
      </c>
      <c r="T26" s="19">
        <f t="shared" si="5"/>
        <v>3</v>
      </c>
      <c r="U26" s="83" t="str">
        <f t="shared" si="6"/>
        <v>ГР</v>
      </c>
      <c r="V26" s="83" t="str">
        <f t="shared" si="7"/>
        <v>-</v>
      </c>
      <c r="W26" s="120" t="str">
        <f t="shared" si="8"/>
        <v>совпадение</v>
      </c>
      <c r="X26" s="51">
        <f t="shared" si="9"/>
        <v>2.6470588235294117</v>
      </c>
      <c r="Y26" s="52">
        <f t="shared" si="10"/>
        <v>0.6</v>
      </c>
      <c r="Z26" s="52">
        <f t="shared" si="11"/>
        <v>0.52941176470588236</v>
      </c>
      <c r="AA26" s="10">
        <f t="shared" si="1"/>
        <v>1</v>
      </c>
      <c r="AB26" s="10">
        <f t="shared" si="12"/>
        <v>1</v>
      </c>
      <c r="AC26" s="10">
        <f t="shared" si="13"/>
        <v>0</v>
      </c>
      <c r="AD26" s="9"/>
    </row>
    <row r="27" spans="1:30" ht="15" x14ac:dyDescent="0.25">
      <c r="A27" s="119">
        <v>16</v>
      </c>
      <c r="B27" s="85">
        <f t="shared" si="2"/>
        <v>27</v>
      </c>
      <c r="C27" s="86" t="str">
        <f t="shared" si="3"/>
        <v>138075</v>
      </c>
      <c r="D27" s="87" t="str">
        <f t="shared" si="4"/>
        <v>0101</v>
      </c>
      <c r="E27" s="88" t="s">
        <v>68</v>
      </c>
      <c r="F27" s="101">
        <v>1</v>
      </c>
      <c r="G27" s="89" t="s">
        <v>183</v>
      </c>
      <c r="H27" s="93">
        <v>27</v>
      </c>
      <c r="I27" s="14">
        <v>1</v>
      </c>
      <c r="J27" s="14">
        <v>1</v>
      </c>
      <c r="K27" s="14">
        <v>0</v>
      </c>
      <c r="L27" s="14">
        <v>0</v>
      </c>
      <c r="M27" s="14">
        <v>0</v>
      </c>
      <c r="N27" s="20">
        <f t="shared" si="0"/>
        <v>2</v>
      </c>
      <c r="O27" s="18">
        <v>0</v>
      </c>
      <c r="P27" s="18">
        <v>1</v>
      </c>
      <c r="Q27" s="18">
        <v>0</v>
      </c>
      <c r="R27" s="18">
        <v>0</v>
      </c>
      <c r="S27" s="18">
        <v>0</v>
      </c>
      <c r="T27" s="19">
        <f t="shared" si="5"/>
        <v>1</v>
      </c>
      <c r="U27" s="83" t="str">
        <f t="shared" si="6"/>
        <v>ГР</v>
      </c>
      <c r="V27" s="83" t="str">
        <f t="shared" si="7"/>
        <v>-</v>
      </c>
      <c r="W27" s="120" t="str">
        <f t="shared" si="8"/>
        <v>совпадение</v>
      </c>
      <c r="X27" s="51">
        <f t="shared" si="9"/>
        <v>2.6470588235294117</v>
      </c>
      <c r="Y27" s="52">
        <f t="shared" si="10"/>
        <v>0.4</v>
      </c>
      <c r="Z27" s="52">
        <f t="shared" si="11"/>
        <v>0.52941176470588236</v>
      </c>
      <c r="AA27" s="10">
        <f t="shared" si="1"/>
        <v>1</v>
      </c>
      <c r="AB27" s="10">
        <f t="shared" si="12"/>
        <v>1</v>
      </c>
      <c r="AC27" s="10">
        <f t="shared" si="13"/>
        <v>0</v>
      </c>
      <c r="AD27" s="9"/>
    </row>
    <row r="28" spans="1:30" ht="15" x14ac:dyDescent="0.25">
      <c r="A28" s="119">
        <v>17</v>
      </c>
      <c r="B28" s="85">
        <f t="shared" si="2"/>
        <v>27</v>
      </c>
      <c r="C28" s="86" t="str">
        <f t="shared" si="3"/>
        <v>138075</v>
      </c>
      <c r="D28" s="87" t="str">
        <f t="shared" si="4"/>
        <v>0101</v>
      </c>
      <c r="E28" s="88" t="s">
        <v>69</v>
      </c>
      <c r="F28" s="101">
        <v>0</v>
      </c>
      <c r="G28" s="89" t="s">
        <v>183</v>
      </c>
      <c r="H28" s="93">
        <v>44</v>
      </c>
      <c r="I28" s="14">
        <v>1</v>
      </c>
      <c r="J28" s="14">
        <v>1</v>
      </c>
      <c r="K28" s="14">
        <v>0</v>
      </c>
      <c r="L28" s="14">
        <v>0</v>
      </c>
      <c r="M28" s="14">
        <v>0</v>
      </c>
      <c r="N28" s="20">
        <f t="shared" si="0"/>
        <v>2</v>
      </c>
      <c r="O28" s="18">
        <v>0</v>
      </c>
      <c r="P28" s="18">
        <v>1</v>
      </c>
      <c r="Q28" s="18">
        <v>0</v>
      </c>
      <c r="R28" s="18">
        <v>1</v>
      </c>
      <c r="S28" s="18">
        <v>0</v>
      </c>
      <c r="T28" s="19">
        <f t="shared" si="5"/>
        <v>2</v>
      </c>
      <c r="U28" s="83" t="str">
        <f t="shared" si="6"/>
        <v>ГР</v>
      </c>
      <c r="V28" s="83" t="str">
        <f t="shared" si="7"/>
        <v>-</v>
      </c>
      <c r="W28" s="120" t="str">
        <f t="shared" si="8"/>
        <v>совпадение</v>
      </c>
      <c r="X28" s="51">
        <f t="shared" si="9"/>
        <v>2.6470588235294117</v>
      </c>
      <c r="Y28" s="52">
        <f t="shared" si="10"/>
        <v>0.4</v>
      </c>
      <c r="Z28" s="52">
        <f t="shared" si="11"/>
        <v>0.52941176470588236</v>
      </c>
      <c r="AA28" s="10">
        <f t="shared" si="1"/>
        <v>1</v>
      </c>
      <c r="AB28" s="10">
        <f t="shared" si="12"/>
        <v>1</v>
      </c>
      <c r="AC28" s="10">
        <f t="shared" si="13"/>
        <v>0</v>
      </c>
      <c r="AD28" s="9"/>
    </row>
    <row r="29" spans="1:30" ht="15" x14ac:dyDescent="0.25">
      <c r="A29" s="119">
        <v>18</v>
      </c>
      <c r="B29" s="85">
        <f t="shared" si="2"/>
        <v>27</v>
      </c>
      <c r="C29" s="86" t="str">
        <f t="shared" si="3"/>
        <v>138075</v>
      </c>
      <c r="D29" s="87" t="str">
        <f t="shared" si="4"/>
        <v>0101</v>
      </c>
      <c r="E29" s="88" t="s">
        <v>70</v>
      </c>
      <c r="F29" s="101">
        <v>1</v>
      </c>
      <c r="G29" s="89" t="s">
        <v>183</v>
      </c>
      <c r="H29" s="93">
        <v>36</v>
      </c>
      <c r="I29" s="14">
        <v>1</v>
      </c>
      <c r="J29" s="14">
        <v>1</v>
      </c>
      <c r="K29" s="14">
        <v>1</v>
      </c>
      <c r="L29" s="14">
        <v>0</v>
      </c>
      <c r="M29" s="14">
        <v>1</v>
      </c>
      <c r="N29" s="20">
        <f t="shared" si="0"/>
        <v>4</v>
      </c>
      <c r="O29" s="18">
        <v>0</v>
      </c>
      <c r="P29" s="18">
        <v>1</v>
      </c>
      <c r="Q29" s="18">
        <v>1</v>
      </c>
      <c r="R29" s="18">
        <v>0</v>
      </c>
      <c r="S29" s="18">
        <v>0</v>
      </c>
      <c r="T29" s="19">
        <f t="shared" si="5"/>
        <v>2</v>
      </c>
      <c r="U29" s="83" t="str">
        <f t="shared" si="6"/>
        <v>ГР</v>
      </c>
      <c r="V29" s="83" t="str">
        <f t="shared" si="7"/>
        <v>-</v>
      </c>
      <c r="W29" s="120" t="str">
        <f t="shared" si="8"/>
        <v>совпадение</v>
      </c>
      <c r="X29" s="51">
        <f t="shared" si="9"/>
        <v>2.6470588235294117</v>
      </c>
      <c r="Y29" s="52">
        <f t="shared" si="10"/>
        <v>0.8</v>
      </c>
      <c r="Z29" s="52">
        <f t="shared" si="11"/>
        <v>0.52941176470588236</v>
      </c>
      <c r="AA29" s="10">
        <f t="shared" si="1"/>
        <v>1</v>
      </c>
      <c r="AB29" s="10">
        <f t="shared" si="12"/>
        <v>1</v>
      </c>
      <c r="AC29" s="10">
        <f t="shared" si="13"/>
        <v>0</v>
      </c>
      <c r="AD29" s="9"/>
    </row>
    <row r="30" spans="1:30" ht="15" x14ac:dyDescent="0.25">
      <c r="A30" s="119">
        <v>19</v>
      </c>
      <c r="B30" s="85">
        <f t="shared" si="2"/>
        <v>27</v>
      </c>
      <c r="C30" s="86" t="str">
        <f t="shared" si="3"/>
        <v>138075</v>
      </c>
      <c r="D30" s="87" t="str">
        <f t="shared" si="4"/>
        <v>0101</v>
      </c>
      <c r="E30" s="88" t="s">
        <v>71</v>
      </c>
      <c r="F30" s="101">
        <v>1</v>
      </c>
      <c r="G30" s="89" t="s">
        <v>191</v>
      </c>
      <c r="H30" s="93">
        <v>47</v>
      </c>
      <c r="I30" s="14">
        <v>1</v>
      </c>
      <c r="J30" s="14">
        <v>1</v>
      </c>
      <c r="K30" s="14">
        <v>1</v>
      </c>
      <c r="L30" s="14">
        <v>0</v>
      </c>
      <c r="M30" s="14">
        <v>0</v>
      </c>
      <c r="N30" s="20">
        <v>0</v>
      </c>
      <c r="O30" s="18">
        <v>0</v>
      </c>
      <c r="P30" s="18">
        <v>1</v>
      </c>
      <c r="Q30" s="18">
        <v>0</v>
      </c>
      <c r="R30" s="18">
        <v>1</v>
      </c>
      <c r="S30" s="18">
        <v>1</v>
      </c>
      <c r="T30" s="19">
        <f t="shared" si="5"/>
        <v>3</v>
      </c>
      <c r="U30" s="83" t="str">
        <f t="shared" si="6"/>
        <v>ГР</v>
      </c>
      <c r="V30" s="83" t="str">
        <f t="shared" si="7"/>
        <v>-</v>
      </c>
      <c r="W30" s="120" t="str">
        <f t="shared" si="8"/>
        <v>завышено</v>
      </c>
      <c r="X30" s="51">
        <f t="shared" si="9"/>
        <v>2.6470588235294117</v>
      </c>
      <c r="Y30" s="52">
        <f t="shared" si="10"/>
        <v>0</v>
      </c>
      <c r="Z30" s="52">
        <f t="shared" si="11"/>
        <v>0.52941176470588236</v>
      </c>
      <c r="AA30" s="10" t="b">
        <f t="shared" si="1"/>
        <v>0</v>
      </c>
      <c r="AB30" s="10">
        <f t="shared" si="12"/>
        <v>1</v>
      </c>
      <c r="AC30" s="10">
        <f t="shared" si="13"/>
        <v>0</v>
      </c>
      <c r="AD30" s="9"/>
    </row>
    <row r="31" spans="1:30" ht="15" x14ac:dyDescent="0.25">
      <c r="A31" s="119">
        <v>20</v>
      </c>
      <c r="B31" s="85">
        <f t="shared" si="2"/>
        <v>27</v>
      </c>
      <c r="C31" s="86" t="str">
        <f t="shared" si="3"/>
        <v>138075</v>
      </c>
      <c r="D31" s="87" t="str">
        <f t="shared" si="4"/>
        <v>0101</v>
      </c>
      <c r="E31" s="88" t="s">
        <v>72</v>
      </c>
      <c r="F31" s="101"/>
      <c r="G31" s="89"/>
      <c r="H31" s="93"/>
      <c r="I31" s="14"/>
      <c r="J31" s="14"/>
      <c r="K31" s="14"/>
      <c r="L31" s="14"/>
      <c r="M31" s="14"/>
      <c r="N31" s="20"/>
      <c r="O31" s="18"/>
      <c r="P31" s="18"/>
      <c r="Q31" s="18"/>
      <c r="R31" s="18"/>
      <c r="S31" s="18"/>
      <c r="T31" s="19">
        <f t="shared" si="5"/>
        <v>0</v>
      </c>
      <c r="U31" s="83" t="str">
        <f t="shared" si="6"/>
        <v>отсутствует</v>
      </c>
      <c r="V31" s="83" t="str">
        <f t="shared" si="7"/>
        <v>отсутствует</v>
      </c>
      <c r="W31" s="120" t="str">
        <f t="shared" si="8"/>
        <v>оценки нет</v>
      </c>
      <c r="X31" s="51">
        <f t="shared" si="9"/>
        <v>2.6470588235294117</v>
      </c>
      <c r="Y31" s="52">
        <f t="shared" si="10"/>
        <v>0</v>
      </c>
      <c r="Z31" s="52">
        <f t="shared" si="11"/>
        <v>0.52941176470588236</v>
      </c>
      <c r="AA31" s="10" t="b">
        <f t="shared" si="1"/>
        <v>0</v>
      </c>
      <c r="AB31" s="10" t="b">
        <f t="shared" si="12"/>
        <v>0</v>
      </c>
      <c r="AC31" s="10">
        <f t="shared" si="13"/>
        <v>0</v>
      </c>
      <c r="AD31" s="9"/>
    </row>
    <row r="32" spans="1:30" ht="15" x14ac:dyDescent="0.25">
      <c r="A32" s="119">
        <v>21</v>
      </c>
      <c r="B32" s="85">
        <f t="shared" si="2"/>
        <v>27</v>
      </c>
      <c r="C32" s="86" t="str">
        <f t="shared" si="3"/>
        <v>138075</v>
      </c>
      <c r="D32" s="87" t="str">
        <f t="shared" si="4"/>
        <v>0101</v>
      </c>
      <c r="E32" s="88" t="s">
        <v>73</v>
      </c>
      <c r="F32" s="101" t="s">
        <v>186</v>
      </c>
      <c r="G32" s="89" t="s">
        <v>186</v>
      </c>
      <c r="H32" s="93" t="s">
        <v>186</v>
      </c>
      <c r="I32" s="14" t="s">
        <v>186</v>
      </c>
      <c r="J32" s="14" t="s">
        <v>186</v>
      </c>
      <c r="K32" s="14" t="s">
        <v>186</v>
      </c>
      <c r="L32" s="14" t="s">
        <v>186</v>
      </c>
      <c r="M32" s="14" t="s">
        <v>186</v>
      </c>
      <c r="N32" s="20">
        <f t="shared" si="0"/>
        <v>0</v>
      </c>
      <c r="O32" s="18" t="s">
        <v>186</v>
      </c>
      <c r="P32" s="18" t="s">
        <v>186</v>
      </c>
      <c r="Q32" s="18" t="s">
        <v>186</v>
      </c>
      <c r="R32" s="18" t="s">
        <v>186</v>
      </c>
      <c r="S32" s="18" t="s">
        <v>186</v>
      </c>
      <c r="T32" s="19">
        <f t="shared" si="5"/>
        <v>0</v>
      </c>
      <c r="U32" s="83" t="str">
        <f t="shared" si="6"/>
        <v>ГР</v>
      </c>
      <c r="V32" s="83" t="str">
        <f t="shared" si="7"/>
        <v>-</v>
      </c>
      <c r="W32" s="120" t="str">
        <f t="shared" si="8"/>
        <v>завышено</v>
      </c>
      <c r="X32" s="51">
        <f t="shared" si="9"/>
        <v>2.6470588235294117</v>
      </c>
      <c r="Y32" s="52">
        <f t="shared" si="10"/>
        <v>0</v>
      </c>
      <c r="Z32" s="52">
        <f t="shared" si="11"/>
        <v>0.52941176470588236</v>
      </c>
      <c r="AA32" s="10" t="b">
        <f t="shared" si="1"/>
        <v>0</v>
      </c>
      <c r="AB32" s="10">
        <f t="shared" si="12"/>
        <v>1</v>
      </c>
      <c r="AC32" s="10">
        <f t="shared" si="13"/>
        <v>0</v>
      </c>
      <c r="AD32" s="9"/>
    </row>
    <row r="33" spans="1:30" ht="15" x14ac:dyDescent="0.25">
      <c r="A33" s="119">
        <v>22</v>
      </c>
      <c r="B33" s="85">
        <f t="shared" si="2"/>
        <v>27</v>
      </c>
      <c r="C33" s="86" t="str">
        <f t="shared" si="3"/>
        <v>138075</v>
      </c>
      <c r="D33" s="87" t="str">
        <f t="shared" si="4"/>
        <v>0101</v>
      </c>
      <c r="E33" s="88" t="s">
        <v>74</v>
      </c>
      <c r="F33" s="101" t="s">
        <v>186</v>
      </c>
      <c r="G33" s="89" t="s">
        <v>186</v>
      </c>
      <c r="H33" s="93" t="s">
        <v>186</v>
      </c>
      <c r="I33" s="14" t="s">
        <v>186</v>
      </c>
      <c r="J33" s="14" t="s">
        <v>186</v>
      </c>
      <c r="K33" s="14" t="s">
        <v>186</v>
      </c>
      <c r="L33" s="14" t="s">
        <v>186</v>
      </c>
      <c r="M33" s="14" t="s">
        <v>186</v>
      </c>
      <c r="N33" s="20">
        <f t="shared" si="0"/>
        <v>0</v>
      </c>
      <c r="O33" s="18" t="s">
        <v>186</v>
      </c>
      <c r="P33" s="18"/>
      <c r="Q33" s="18"/>
      <c r="R33" s="18"/>
      <c r="S33" s="18"/>
      <c r="T33" s="19">
        <f t="shared" si="5"/>
        <v>0</v>
      </c>
      <c r="U33" s="83" t="str">
        <f t="shared" si="6"/>
        <v>ГР</v>
      </c>
      <c r="V33" s="83" t="str">
        <f t="shared" si="7"/>
        <v>-</v>
      </c>
      <c r="W33" s="120" t="str">
        <f t="shared" si="8"/>
        <v>завышено</v>
      </c>
      <c r="X33" s="51">
        <f t="shared" si="9"/>
        <v>2.6470588235294117</v>
      </c>
      <c r="Y33" s="52">
        <f t="shared" si="10"/>
        <v>0</v>
      </c>
      <c r="Z33" s="52">
        <f t="shared" si="11"/>
        <v>0.52941176470588236</v>
      </c>
      <c r="AA33" s="10" t="b">
        <f t="shared" si="1"/>
        <v>0</v>
      </c>
      <c r="AB33" s="10">
        <f t="shared" si="12"/>
        <v>1</v>
      </c>
      <c r="AC33" s="10">
        <f t="shared" si="13"/>
        <v>0</v>
      </c>
      <c r="AD33" s="9"/>
    </row>
    <row r="34" spans="1:30" ht="15" x14ac:dyDescent="0.25">
      <c r="A34" s="119">
        <v>23</v>
      </c>
      <c r="B34" s="85">
        <f t="shared" si="2"/>
        <v>27</v>
      </c>
      <c r="C34" s="86" t="str">
        <f t="shared" si="3"/>
        <v>138075</v>
      </c>
      <c r="D34" s="87" t="str">
        <f t="shared" si="4"/>
        <v>0101</v>
      </c>
      <c r="E34" s="106" t="s">
        <v>75</v>
      </c>
      <c r="F34" s="101"/>
      <c r="G34" s="89"/>
      <c r="H34" s="93"/>
      <c r="I34" s="14"/>
      <c r="J34" s="14"/>
      <c r="K34" s="14"/>
      <c r="L34" s="14"/>
      <c r="M34" s="14"/>
      <c r="N34" s="20">
        <f t="shared" si="0"/>
        <v>0</v>
      </c>
      <c r="O34" s="18" t="s">
        <v>187</v>
      </c>
      <c r="P34" s="18"/>
      <c r="Q34" s="18"/>
      <c r="R34" s="18"/>
      <c r="S34" s="18"/>
      <c r="T34" s="19">
        <f t="shared" si="5"/>
        <v>0</v>
      </c>
      <c r="U34" s="138"/>
      <c r="V34" s="83"/>
      <c r="W34" s="120"/>
      <c r="X34" s="51">
        <f t="shared" si="9"/>
        <v>2.6470588235294117</v>
      </c>
      <c r="Y34" s="52">
        <f t="shared" si="10"/>
        <v>0</v>
      </c>
      <c r="Z34" s="52">
        <f t="shared" si="11"/>
        <v>0.52941176470588236</v>
      </c>
      <c r="AA34" s="10" t="b">
        <f t="shared" si="1"/>
        <v>0</v>
      </c>
      <c r="AB34" s="10" t="b">
        <f t="shared" si="12"/>
        <v>0</v>
      </c>
      <c r="AC34" s="10">
        <f t="shared" si="13"/>
        <v>0</v>
      </c>
      <c r="AD34" s="9"/>
    </row>
    <row r="35" spans="1:30" ht="15" x14ac:dyDescent="0.25">
      <c r="A35" s="119">
        <v>24</v>
      </c>
      <c r="B35" s="85">
        <f t="shared" si="2"/>
        <v>27</v>
      </c>
      <c r="C35" s="86" t="str">
        <f t="shared" si="3"/>
        <v>138075</v>
      </c>
      <c r="D35" s="87" t="str">
        <f t="shared" si="4"/>
        <v>0101</v>
      </c>
      <c r="E35" s="106" t="s">
        <v>76</v>
      </c>
      <c r="F35" s="101"/>
      <c r="G35" s="89"/>
      <c r="H35" s="93"/>
      <c r="I35" s="14"/>
      <c r="J35" s="14"/>
      <c r="K35" s="14"/>
      <c r="L35" s="14"/>
      <c r="M35" s="14"/>
      <c r="N35" s="20">
        <f t="shared" si="0"/>
        <v>0</v>
      </c>
      <c r="O35" s="18" t="s">
        <v>186</v>
      </c>
      <c r="P35" s="18"/>
      <c r="Q35" s="18"/>
      <c r="R35" s="18"/>
      <c r="S35" s="18"/>
      <c r="T35" s="19">
        <f t="shared" si="5"/>
        <v>0</v>
      </c>
      <c r="U35" s="138"/>
      <c r="V35" s="83"/>
      <c r="W35" s="120"/>
      <c r="X35" s="51">
        <f t="shared" si="9"/>
        <v>2.6470588235294117</v>
      </c>
      <c r="Y35" s="52">
        <f t="shared" si="10"/>
        <v>0</v>
      </c>
      <c r="Z35" s="52">
        <f t="shared" si="11"/>
        <v>0.52941176470588236</v>
      </c>
      <c r="AA35" s="10" t="b">
        <f t="shared" si="1"/>
        <v>0</v>
      </c>
      <c r="AB35" s="10" t="b">
        <f t="shared" si="12"/>
        <v>0</v>
      </c>
      <c r="AC35" s="10">
        <f t="shared" si="13"/>
        <v>0</v>
      </c>
      <c r="AD35" s="9"/>
    </row>
    <row r="36" spans="1:30" ht="15" x14ac:dyDescent="0.25">
      <c r="A36" s="119">
        <v>25</v>
      </c>
      <c r="B36" s="85">
        <f t="shared" si="2"/>
        <v>27</v>
      </c>
      <c r="C36" s="86" t="str">
        <f t="shared" si="3"/>
        <v>138075</v>
      </c>
      <c r="D36" s="87" t="str">
        <f t="shared" si="4"/>
        <v>0101</v>
      </c>
      <c r="E36" s="106" t="s">
        <v>77</v>
      </c>
      <c r="F36" s="101"/>
      <c r="G36" s="89"/>
      <c r="H36" s="93"/>
      <c r="I36" s="14"/>
      <c r="J36" s="14"/>
      <c r="K36" s="14"/>
      <c r="L36" s="14"/>
      <c r="M36" s="14"/>
      <c r="N36" s="20">
        <f t="shared" si="0"/>
        <v>0</v>
      </c>
      <c r="O36" s="18"/>
      <c r="P36" s="18"/>
      <c r="Q36" s="18"/>
      <c r="R36" s="18"/>
      <c r="S36" s="18"/>
      <c r="T36" s="19">
        <f t="shared" si="5"/>
        <v>0</v>
      </c>
      <c r="U36" s="138"/>
      <c r="V36" s="83"/>
      <c r="W36" s="120"/>
      <c r="X36" s="51">
        <f t="shared" si="9"/>
        <v>2.6470588235294117</v>
      </c>
      <c r="Y36" s="52">
        <f t="shared" si="10"/>
        <v>0</v>
      </c>
      <c r="Z36" s="52">
        <f t="shared" si="11"/>
        <v>0.52941176470588236</v>
      </c>
      <c r="AA36" s="10" t="b">
        <f t="shared" si="1"/>
        <v>0</v>
      </c>
      <c r="AB36" s="10" t="b">
        <f t="shared" si="12"/>
        <v>0</v>
      </c>
      <c r="AC36" s="10">
        <f t="shared" si="13"/>
        <v>0</v>
      </c>
      <c r="AD36" s="9"/>
    </row>
    <row r="37" spans="1:30" ht="15" x14ac:dyDescent="0.25">
      <c r="A37" s="119">
        <v>26</v>
      </c>
      <c r="B37" s="85">
        <f t="shared" si="2"/>
        <v>27</v>
      </c>
      <c r="C37" s="86" t="str">
        <f t="shared" si="3"/>
        <v>138075</v>
      </c>
      <c r="D37" s="87" t="str">
        <f t="shared" si="4"/>
        <v>0101</v>
      </c>
      <c r="E37" s="106" t="s">
        <v>78</v>
      </c>
      <c r="F37" s="101"/>
      <c r="G37" s="89"/>
      <c r="H37" s="93"/>
      <c r="I37" s="14"/>
      <c r="J37" s="14"/>
      <c r="K37" s="14"/>
      <c r="L37" s="14"/>
      <c r="M37" s="14"/>
      <c r="N37" s="20">
        <f t="shared" si="0"/>
        <v>0</v>
      </c>
      <c r="O37" s="18"/>
      <c r="P37" s="18"/>
      <c r="Q37" s="18"/>
      <c r="R37" s="18"/>
      <c r="S37" s="18"/>
      <c r="T37" s="19">
        <f t="shared" si="5"/>
        <v>0</v>
      </c>
      <c r="U37" s="138"/>
      <c r="V37" s="83"/>
      <c r="W37" s="139"/>
      <c r="X37" s="51">
        <f t="shared" si="9"/>
        <v>2.6470588235294117</v>
      </c>
      <c r="Y37" s="52">
        <f t="shared" si="10"/>
        <v>0</v>
      </c>
      <c r="Z37" s="52">
        <f t="shared" si="11"/>
        <v>0.52941176470588236</v>
      </c>
      <c r="AA37" s="10" t="b">
        <f t="shared" si="1"/>
        <v>0</v>
      </c>
      <c r="AB37" s="10" t="b">
        <f t="shared" si="12"/>
        <v>0</v>
      </c>
      <c r="AC37" s="10">
        <f t="shared" si="13"/>
        <v>0</v>
      </c>
      <c r="AD37" s="9"/>
    </row>
    <row r="38" spans="1:30" ht="15" x14ac:dyDescent="0.25">
      <c r="A38" s="119">
        <v>27</v>
      </c>
      <c r="B38" s="85">
        <f t="shared" si="2"/>
        <v>27</v>
      </c>
      <c r="C38" s="86" t="str">
        <f t="shared" si="3"/>
        <v>138075</v>
      </c>
      <c r="D38" s="87" t="str">
        <f t="shared" si="4"/>
        <v>0101</v>
      </c>
      <c r="E38" s="106" t="s">
        <v>79</v>
      </c>
      <c r="F38" s="101"/>
      <c r="G38" s="89"/>
      <c r="H38" s="93"/>
      <c r="I38" s="14"/>
      <c r="J38" s="14"/>
      <c r="K38" s="14"/>
      <c r="L38" s="14"/>
      <c r="M38" s="14"/>
      <c r="N38" s="20">
        <f t="shared" si="0"/>
        <v>0</v>
      </c>
      <c r="O38" s="18"/>
      <c r="P38" s="18"/>
      <c r="Q38" s="18"/>
      <c r="R38" s="18"/>
      <c r="S38" s="18"/>
      <c r="T38" s="19">
        <f t="shared" si="5"/>
        <v>0</v>
      </c>
      <c r="U38" s="138"/>
      <c r="V38" s="83"/>
      <c r="W38" s="120"/>
      <c r="X38" s="51">
        <f t="shared" si="9"/>
        <v>2.6470588235294117</v>
      </c>
      <c r="Y38" s="52">
        <f t="shared" si="10"/>
        <v>0</v>
      </c>
      <c r="Z38" s="52">
        <f t="shared" si="11"/>
        <v>0.52941176470588236</v>
      </c>
      <c r="AA38" s="10" t="b">
        <f t="shared" si="1"/>
        <v>0</v>
      </c>
      <c r="AB38" s="10" t="b">
        <f t="shared" si="12"/>
        <v>0</v>
      </c>
      <c r="AC38" s="10">
        <f t="shared" si="13"/>
        <v>0</v>
      </c>
      <c r="AD38" s="9"/>
    </row>
    <row r="39" spans="1:30" ht="15" x14ac:dyDescent="0.25">
      <c r="A39" s="119">
        <v>28</v>
      </c>
      <c r="B39" s="85">
        <f t="shared" si="2"/>
        <v>27</v>
      </c>
      <c r="C39" s="86" t="str">
        <f t="shared" si="3"/>
        <v>138075</v>
      </c>
      <c r="D39" s="87" t="str">
        <f t="shared" si="4"/>
        <v>0101</v>
      </c>
      <c r="E39" s="106" t="s">
        <v>80</v>
      </c>
      <c r="F39" s="101"/>
      <c r="G39" s="89"/>
      <c r="H39" s="93"/>
      <c r="I39" s="14"/>
      <c r="J39" s="14"/>
      <c r="K39" s="14"/>
      <c r="L39" s="14"/>
      <c r="M39" s="14"/>
      <c r="N39" s="20">
        <f t="shared" si="0"/>
        <v>0</v>
      </c>
      <c r="O39" s="18"/>
      <c r="P39" s="18"/>
      <c r="Q39" s="18"/>
      <c r="R39" s="18"/>
      <c r="S39" s="18"/>
      <c r="T39" s="19">
        <f t="shared" si="5"/>
        <v>0</v>
      </c>
      <c r="U39" s="138"/>
      <c r="V39" s="83"/>
      <c r="W39" s="120"/>
      <c r="X39" s="51">
        <f t="shared" si="9"/>
        <v>2.6470588235294117</v>
      </c>
      <c r="Y39" s="52">
        <f t="shared" si="10"/>
        <v>0</v>
      </c>
      <c r="Z39" s="52">
        <f t="shared" si="11"/>
        <v>0.52941176470588236</v>
      </c>
      <c r="AA39" s="10" t="b">
        <f t="shared" si="1"/>
        <v>0</v>
      </c>
      <c r="AB39" s="10" t="b">
        <f t="shared" si="12"/>
        <v>0</v>
      </c>
      <c r="AC39" s="10">
        <f t="shared" si="13"/>
        <v>0</v>
      </c>
      <c r="AD39" s="9"/>
    </row>
    <row r="40" spans="1:30" ht="15" x14ac:dyDescent="0.25">
      <c r="A40" s="119">
        <v>29</v>
      </c>
      <c r="B40" s="85">
        <f t="shared" si="2"/>
        <v>27</v>
      </c>
      <c r="C40" s="86" t="str">
        <f t="shared" si="3"/>
        <v>138075</v>
      </c>
      <c r="D40" s="87" t="str">
        <f t="shared" si="4"/>
        <v>0101</v>
      </c>
      <c r="E40" s="88" t="s">
        <v>81</v>
      </c>
      <c r="F40" s="101"/>
      <c r="G40" s="89"/>
      <c r="H40" s="93"/>
      <c r="I40" s="14"/>
      <c r="J40" s="14"/>
      <c r="K40" s="14"/>
      <c r="L40" s="14"/>
      <c r="M40" s="14"/>
      <c r="N40" s="20">
        <f t="shared" si="0"/>
        <v>0</v>
      </c>
      <c r="O40" s="18"/>
      <c r="P40" s="18"/>
      <c r="Q40" s="18"/>
      <c r="R40" s="18"/>
      <c r="S40" s="18"/>
      <c r="T40" s="19">
        <f t="shared" si="5"/>
        <v>0</v>
      </c>
      <c r="U40" s="83"/>
      <c r="V40" s="83"/>
      <c r="W40" s="120"/>
      <c r="X40" s="51">
        <f t="shared" si="9"/>
        <v>2.6470588235294117</v>
      </c>
      <c r="Y40" s="52">
        <f t="shared" si="10"/>
        <v>0</v>
      </c>
      <c r="Z40" s="52">
        <f t="shared" si="11"/>
        <v>0.52941176470588236</v>
      </c>
      <c r="AA40" s="10" t="b">
        <f t="shared" si="1"/>
        <v>0</v>
      </c>
      <c r="AB40" s="10" t="b">
        <f t="shared" si="12"/>
        <v>0</v>
      </c>
      <c r="AC40" s="10">
        <f t="shared" si="13"/>
        <v>0</v>
      </c>
      <c r="AD40" s="9"/>
    </row>
    <row r="41" spans="1:30" ht="15" x14ac:dyDescent="0.25">
      <c r="A41" s="119">
        <v>30</v>
      </c>
      <c r="B41" s="85">
        <f t="shared" si="2"/>
        <v>27</v>
      </c>
      <c r="C41" s="86" t="str">
        <f t="shared" si="3"/>
        <v>138075</v>
      </c>
      <c r="D41" s="87" t="str">
        <f t="shared" si="4"/>
        <v>0101</v>
      </c>
      <c r="E41" s="88" t="s">
        <v>82</v>
      </c>
      <c r="F41" s="101"/>
      <c r="G41" s="89"/>
      <c r="H41" s="93"/>
      <c r="I41" s="14"/>
      <c r="J41" s="14"/>
      <c r="K41" s="14"/>
      <c r="L41" s="14"/>
      <c r="M41" s="14"/>
      <c r="N41" s="20">
        <f t="shared" si="0"/>
        <v>0</v>
      </c>
      <c r="O41" s="18"/>
      <c r="P41" s="18"/>
      <c r="Q41" s="18"/>
      <c r="R41" s="18"/>
      <c r="S41" s="18"/>
      <c r="T41" s="19">
        <f t="shared" si="5"/>
        <v>0</v>
      </c>
      <c r="U41" s="83"/>
      <c r="V41" s="83"/>
      <c r="W41" s="120"/>
      <c r="X41" s="51">
        <f t="shared" si="9"/>
        <v>2.6470588235294117</v>
      </c>
      <c r="Y41" s="52">
        <f t="shared" si="10"/>
        <v>0</v>
      </c>
      <c r="Z41" s="52">
        <f t="shared" si="11"/>
        <v>0.52941176470588236</v>
      </c>
      <c r="AA41" s="10" t="b">
        <f t="shared" si="1"/>
        <v>0</v>
      </c>
      <c r="AB41" s="10" t="b">
        <f t="shared" si="12"/>
        <v>0</v>
      </c>
      <c r="AC41" s="10">
        <f t="shared" si="13"/>
        <v>0</v>
      </c>
      <c r="AD41" s="9"/>
    </row>
    <row r="42" spans="1:30" ht="15" x14ac:dyDescent="0.25">
      <c r="A42" s="119">
        <v>31</v>
      </c>
      <c r="B42" s="85">
        <f t="shared" si="2"/>
        <v>27</v>
      </c>
      <c r="C42" s="86" t="str">
        <f t="shared" si="3"/>
        <v>138075</v>
      </c>
      <c r="D42" s="87" t="str">
        <f t="shared" si="4"/>
        <v>0101</v>
      </c>
      <c r="E42" s="88" t="s">
        <v>83</v>
      </c>
      <c r="F42" s="101"/>
      <c r="G42" s="89"/>
      <c r="H42" s="93"/>
      <c r="I42" s="14"/>
      <c r="J42" s="14"/>
      <c r="K42" s="14"/>
      <c r="L42" s="14"/>
      <c r="M42" s="14"/>
      <c r="N42" s="20">
        <f t="shared" si="0"/>
        <v>0</v>
      </c>
      <c r="O42" s="18"/>
      <c r="P42" s="18"/>
      <c r="Q42" s="18"/>
      <c r="R42" s="18"/>
      <c r="S42" s="18"/>
      <c r="T42" s="19">
        <f t="shared" si="5"/>
        <v>0</v>
      </c>
      <c r="U42" s="83"/>
      <c r="V42" s="83"/>
      <c r="W42" s="120"/>
      <c r="X42" s="51">
        <f t="shared" si="9"/>
        <v>2.6470588235294117</v>
      </c>
      <c r="Y42" s="52">
        <f t="shared" si="10"/>
        <v>0</v>
      </c>
      <c r="Z42" s="52">
        <f t="shared" si="11"/>
        <v>0.52941176470588236</v>
      </c>
      <c r="AA42" s="10" t="b">
        <f t="shared" si="1"/>
        <v>0</v>
      </c>
      <c r="AB42" s="10" t="b">
        <f t="shared" si="12"/>
        <v>0</v>
      </c>
      <c r="AC42" s="10">
        <f t="shared" si="13"/>
        <v>0</v>
      </c>
      <c r="AD42" s="9"/>
    </row>
    <row r="43" spans="1:30" ht="15" x14ac:dyDescent="0.25">
      <c r="A43" s="119">
        <v>32</v>
      </c>
      <c r="B43" s="85">
        <f t="shared" si="2"/>
        <v>27</v>
      </c>
      <c r="C43" s="86" t="str">
        <f t="shared" si="3"/>
        <v>138075</v>
      </c>
      <c r="D43" s="87" t="str">
        <f t="shared" si="4"/>
        <v>0101</v>
      </c>
      <c r="E43" s="88" t="s">
        <v>84</v>
      </c>
      <c r="F43" s="101"/>
      <c r="G43" s="89"/>
      <c r="H43" s="93"/>
      <c r="I43" s="14"/>
      <c r="J43" s="14"/>
      <c r="K43" s="14"/>
      <c r="L43" s="14"/>
      <c r="M43" s="14"/>
      <c r="N43" s="20">
        <f t="shared" si="0"/>
        <v>0</v>
      </c>
      <c r="O43" s="18"/>
      <c r="P43" s="18"/>
      <c r="Q43" s="18"/>
      <c r="R43" s="18"/>
      <c r="S43" s="18"/>
      <c r="T43" s="19">
        <f t="shared" si="5"/>
        <v>0</v>
      </c>
      <c r="U43" s="83"/>
      <c r="V43" s="83"/>
      <c r="W43" s="120"/>
      <c r="X43" s="51">
        <f t="shared" si="9"/>
        <v>2.6470588235294117</v>
      </c>
      <c r="Y43" s="52">
        <f t="shared" si="10"/>
        <v>0</v>
      </c>
      <c r="Z43" s="52">
        <f t="shared" si="11"/>
        <v>0.52941176470588236</v>
      </c>
      <c r="AA43" s="10" t="b">
        <f t="shared" si="1"/>
        <v>0</v>
      </c>
      <c r="AB43" s="10" t="b">
        <f t="shared" si="12"/>
        <v>0</v>
      </c>
      <c r="AC43" s="10">
        <f t="shared" si="13"/>
        <v>0</v>
      </c>
      <c r="AD43" s="9"/>
    </row>
    <row r="44" spans="1:30" ht="15" x14ac:dyDescent="0.25">
      <c r="A44" s="119">
        <v>33</v>
      </c>
      <c r="B44" s="85">
        <f t="shared" si="2"/>
        <v>27</v>
      </c>
      <c r="C44" s="86" t="str">
        <f t="shared" si="3"/>
        <v>138075</v>
      </c>
      <c r="D44" s="87" t="str">
        <f t="shared" si="4"/>
        <v>0101</v>
      </c>
      <c r="E44" s="88" t="s">
        <v>85</v>
      </c>
      <c r="F44" s="101"/>
      <c r="G44" s="89"/>
      <c r="H44" s="93"/>
      <c r="I44" s="14"/>
      <c r="J44" s="14"/>
      <c r="K44" s="14"/>
      <c r="L44" s="14"/>
      <c r="M44" s="14"/>
      <c r="N44" s="20">
        <f>SUM(I44:M44)</f>
        <v>0</v>
      </c>
      <c r="O44" s="18"/>
      <c r="P44" s="18"/>
      <c r="Q44" s="18"/>
      <c r="R44" s="18"/>
      <c r="S44" s="18"/>
      <c r="T44" s="19">
        <f t="shared" si="5"/>
        <v>0</v>
      </c>
      <c r="U44" s="83"/>
      <c r="V44" s="83"/>
      <c r="W44" s="120"/>
      <c r="X44" s="51">
        <f t="shared" si="9"/>
        <v>2.6470588235294117</v>
      </c>
      <c r="Y44" s="52">
        <f>N44/5</f>
        <v>0</v>
      </c>
      <c r="Z44" s="52">
        <f t="shared" si="11"/>
        <v>0.52941176470588236</v>
      </c>
      <c r="AA44" s="10" t="b">
        <f t="shared" si="1"/>
        <v>0</v>
      </c>
      <c r="AB44" s="10" t="b">
        <f t="shared" si="12"/>
        <v>0</v>
      </c>
      <c r="AC44" s="10">
        <f t="shared" si="13"/>
        <v>0</v>
      </c>
      <c r="AD44" s="9"/>
    </row>
    <row r="45" spans="1:30" ht="15" x14ac:dyDescent="0.25">
      <c r="A45" s="119">
        <v>34</v>
      </c>
      <c r="B45" s="85">
        <f t="shared" si="2"/>
        <v>27</v>
      </c>
      <c r="C45" s="86" t="str">
        <f t="shared" si="3"/>
        <v>138075</v>
      </c>
      <c r="D45" s="87" t="str">
        <f t="shared" si="4"/>
        <v>0101</v>
      </c>
      <c r="E45" s="88" t="s">
        <v>86</v>
      </c>
      <c r="F45" s="101"/>
      <c r="G45" s="89"/>
      <c r="H45" s="93"/>
      <c r="I45" s="14"/>
      <c r="J45" s="14"/>
      <c r="K45" s="14"/>
      <c r="L45" s="14"/>
      <c r="M45" s="14"/>
      <c r="N45" s="20">
        <f t="shared" si="0"/>
        <v>0</v>
      </c>
      <c r="O45" s="18"/>
      <c r="P45" s="18"/>
      <c r="Q45" s="18"/>
      <c r="R45" s="18"/>
      <c r="S45" s="18"/>
      <c r="T45" s="19">
        <f t="shared" si="5"/>
        <v>0</v>
      </c>
      <c r="U45" s="83"/>
      <c r="V45" s="83"/>
      <c r="W45" s="120"/>
      <c r="X45" s="51">
        <f t="shared" si="9"/>
        <v>2.6470588235294117</v>
      </c>
      <c r="Y45" s="52">
        <f t="shared" si="10"/>
        <v>0</v>
      </c>
      <c r="Z45" s="52">
        <f t="shared" si="11"/>
        <v>0.52941176470588236</v>
      </c>
      <c r="AA45" s="10" t="b">
        <f t="shared" si="1"/>
        <v>0</v>
      </c>
      <c r="AB45" s="10" t="b">
        <f t="shared" si="12"/>
        <v>0</v>
      </c>
      <c r="AC45" s="10">
        <f t="shared" si="13"/>
        <v>0</v>
      </c>
      <c r="AD45" s="9"/>
    </row>
    <row r="46" spans="1:30" ht="15" x14ac:dyDescent="0.25">
      <c r="A46" s="119">
        <v>35</v>
      </c>
      <c r="B46" s="85">
        <f t="shared" si="2"/>
        <v>27</v>
      </c>
      <c r="C46" s="86" t="str">
        <f t="shared" si="3"/>
        <v>138075</v>
      </c>
      <c r="D46" s="87" t="str">
        <f t="shared" si="4"/>
        <v>0101</v>
      </c>
      <c r="E46" s="88" t="s">
        <v>87</v>
      </c>
      <c r="F46" s="101"/>
      <c r="G46" s="89"/>
      <c r="H46" s="93"/>
      <c r="I46" s="14"/>
      <c r="J46" s="14"/>
      <c r="K46" s="14"/>
      <c r="L46" s="14"/>
      <c r="M46" s="14"/>
      <c r="N46" s="20">
        <f t="shared" si="0"/>
        <v>0</v>
      </c>
      <c r="O46" s="18"/>
      <c r="P46" s="18"/>
      <c r="Q46" s="18"/>
      <c r="R46" s="18"/>
      <c r="S46" s="18"/>
      <c r="T46" s="19">
        <f t="shared" si="5"/>
        <v>0</v>
      </c>
      <c r="U46" s="174">
        <f>Y42</f>
        <v>0</v>
      </c>
      <c r="V46" s="83" t="str">
        <f t="shared" si="7"/>
        <v>отсутствует</v>
      </c>
      <c r="W46" s="120" t="str">
        <f t="shared" si="8"/>
        <v>оценки нет</v>
      </c>
      <c r="X46" s="51">
        <f t="shared" si="9"/>
        <v>2.6470588235294117</v>
      </c>
      <c r="Y46" s="52">
        <f t="shared" si="10"/>
        <v>0</v>
      </c>
      <c r="Z46" s="52">
        <f t="shared" si="11"/>
        <v>0.52941176470588236</v>
      </c>
      <c r="AA46" s="10" t="b">
        <f t="shared" si="1"/>
        <v>0</v>
      </c>
      <c r="AB46" s="10" t="b">
        <f t="shared" si="12"/>
        <v>0</v>
      </c>
      <c r="AC46" s="10">
        <f t="shared" si="13"/>
        <v>0</v>
      </c>
      <c r="AD46" s="9"/>
    </row>
    <row r="47" spans="1:30" ht="18" customHeight="1" x14ac:dyDescent="0.2">
      <c r="A47" s="289" t="s">
        <v>4</v>
      </c>
      <c r="B47" s="290"/>
      <c r="C47" s="290"/>
      <c r="D47" s="290"/>
      <c r="E47" s="290"/>
      <c r="F47" s="290"/>
      <c r="G47" s="290"/>
      <c r="H47" s="290"/>
      <c r="I47" s="23">
        <f>COUNTIF(I12:I46,1)</f>
        <v>15</v>
      </c>
      <c r="J47" s="23">
        <f>COUNTIF(J12:J46,1)</f>
        <v>12</v>
      </c>
      <c r="K47" s="23">
        <f>COUNTIF(K12:K46,1)</f>
        <v>12</v>
      </c>
      <c r="L47" s="23">
        <f>COUNTIF(L12:L46,1)</f>
        <v>4</v>
      </c>
      <c r="M47" s="23">
        <f>COUNTIF(M12:M46,1)</f>
        <v>5</v>
      </c>
      <c r="N47" s="54">
        <f>SUM(N12:N46)</f>
        <v>45</v>
      </c>
      <c r="O47" s="23">
        <f>COUNTIF(O12:O46,1)</f>
        <v>0</v>
      </c>
      <c r="P47" s="23">
        <f>COUNTIF(P12:P46,1)</f>
        <v>17</v>
      </c>
      <c r="Q47" s="23">
        <f>COUNTIF(Q12:Q46,1)</f>
        <v>8</v>
      </c>
      <c r="R47" s="23">
        <f>COUNTIF(R12:R46,1)</f>
        <v>6</v>
      </c>
      <c r="S47" s="23">
        <f>COUNTIF(S12:S46,1)</f>
        <v>4</v>
      </c>
      <c r="T47" s="90">
        <f>SUM(T12:T46)</f>
        <v>35</v>
      </c>
      <c r="U47" s="23">
        <f>COUNTIF(U12:U46,"ГР")</f>
        <v>17</v>
      </c>
      <c r="V47" s="23">
        <f>COUNTIF(V12:V46,"-")</f>
        <v>18</v>
      </c>
      <c r="W47" s="121">
        <f>COUNTIF(W12:W46,"совпадение")</f>
        <v>9</v>
      </c>
      <c r="X47" s="311"/>
      <c r="Y47" s="311"/>
      <c r="Z47" s="104"/>
      <c r="AA47" s="105"/>
      <c r="AB47" s="105"/>
      <c r="AC47" s="10">
        <f>SUM(AC12:AC46)</f>
        <v>1</v>
      </c>
      <c r="AD47" s="9"/>
    </row>
    <row r="48" spans="1:30" ht="17.25" customHeight="1" x14ac:dyDescent="0.2">
      <c r="A48" s="289" t="s">
        <v>30</v>
      </c>
      <c r="B48" s="290"/>
      <c r="C48" s="290"/>
      <c r="D48" s="290"/>
      <c r="E48" s="290"/>
      <c r="F48" s="290"/>
      <c r="G48" s="290"/>
      <c r="H48" s="290"/>
      <c r="I48" s="23">
        <f>COUNTIF(I12:I46,0)</f>
        <v>2</v>
      </c>
      <c r="J48" s="23">
        <f>COUNTIF(J12:J46,0)</f>
        <v>5</v>
      </c>
      <c r="K48" s="23">
        <f>COUNTIF(K12:K46,0)</f>
        <v>5</v>
      </c>
      <c r="L48" s="23">
        <f>COUNTIF(L12:L46,0)</f>
        <v>13</v>
      </c>
      <c r="M48" s="23">
        <f>COUNTIF(M12:M46,0)</f>
        <v>11</v>
      </c>
      <c r="N48" s="53">
        <f>SUM(N12:N46)/I50</f>
        <v>2.6470588235294117</v>
      </c>
      <c r="O48" s="23">
        <f>COUNTIF(O12:O46,0)</f>
        <v>16</v>
      </c>
      <c r="P48" s="23">
        <f>COUNTIF(P12:P46,0)</f>
        <v>0</v>
      </c>
      <c r="Q48" s="23">
        <f>COUNTIF(Q12:Q46,0)</f>
        <v>9</v>
      </c>
      <c r="R48" s="23">
        <f>COUNTIF(R12:R46,0)</f>
        <v>11</v>
      </c>
      <c r="S48" s="23">
        <f>COUNTIF(S12:S46,0)</f>
        <v>10</v>
      </c>
      <c r="T48" s="53">
        <f>SUM(T12:T46)/I50</f>
        <v>2.0588235294117645</v>
      </c>
      <c r="U48" s="23">
        <f>COUNTIF(U12:U46,"БУ")</f>
        <v>2</v>
      </c>
      <c r="V48" s="23">
        <f>COUNTIF(V12:V46,"достиг")</f>
        <v>1</v>
      </c>
      <c r="W48" s="121">
        <f>COUNTIF(W12:W46,"занижено")</f>
        <v>0</v>
      </c>
      <c r="X48" s="311"/>
      <c r="Y48" s="311"/>
      <c r="Z48" s="102"/>
      <c r="AA48" s="103"/>
      <c r="AB48" s="103"/>
      <c r="AC48" s="10"/>
      <c r="AD48" s="9"/>
    </row>
    <row r="49" spans="1:30" ht="18" customHeight="1" x14ac:dyDescent="0.2">
      <c r="A49" s="309" t="s">
        <v>31</v>
      </c>
      <c r="B49" s="310"/>
      <c r="C49" s="310"/>
      <c r="D49" s="310"/>
      <c r="E49" s="310"/>
      <c r="F49" s="310"/>
      <c r="G49" s="310"/>
      <c r="H49" s="310"/>
      <c r="I49" s="23">
        <f>COUNTIF(I12:I46,"х")</f>
        <v>0</v>
      </c>
      <c r="J49" s="23">
        <f>COUNTIF(J12:J46,"х")</f>
        <v>0</v>
      </c>
      <c r="K49" s="23">
        <f>COUNTIF(K12:K46,"х")</f>
        <v>0</v>
      </c>
      <c r="L49" s="23">
        <f>COUNTIF(L12:L46,"х")</f>
        <v>0</v>
      </c>
      <c r="M49" s="23">
        <f>COUNTIF(M12:M46,"х")</f>
        <v>0</v>
      </c>
      <c r="N49" s="54">
        <f>5*I50</f>
        <v>85</v>
      </c>
      <c r="O49" s="23">
        <f>COUNTIF(O12:O46,"х")</f>
        <v>0</v>
      </c>
      <c r="P49" s="23">
        <f>COUNTIF(P12:P46,"х")</f>
        <v>0</v>
      </c>
      <c r="Q49" s="23">
        <f>COUNTIF(Q12:Q46,"х")</f>
        <v>0</v>
      </c>
      <c r="R49" s="23">
        <f>COUNTIF(R12:R46,"х")</f>
        <v>0</v>
      </c>
      <c r="S49" s="23">
        <f>COUNTIF(S12:S46,"х")</f>
        <v>0</v>
      </c>
      <c r="T49" s="61">
        <f>5*I50</f>
        <v>85</v>
      </c>
      <c r="U49" s="23">
        <f>COUNTIF(U12:U46,"отсутствует")</f>
        <v>3</v>
      </c>
      <c r="V49" s="23">
        <f>COUNTIF(AC12:AC46,"1")</f>
        <v>1</v>
      </c>
      <c r="W49" s="121">
        <f>COUNTIF(W12:W46,"завышено")</f>
        <v>10</v>
      </c>
      <c r="X49" s="311"/>
      <c r="Y49" s="311"/>
      <c r="Z49" s="102"/>
      <c r="AA49" s="103"/>
      <c r="AB49" s="103"/>
      <c r="AC49" s="10"/>
      <c r="AD49" s="9"/>
    </row>
    <row r="50" spans="1:30" ht="21.75" customHeight="1" x14ac:dyDescent="0.2">
      <c r="A50" s="309" t="s">
        <v>44</v>
      </c>
      <c r="B50" s="310"/>
      <c r="C50" s="310"/>
      <c r="D50" s="310"/>
      <c r="E50" s="310"/>
      <c r="F50" s="310"/>
      <c r="G50" s="310"/>
      <c r="H50" s="310"/>
      <c r="I50" s="98">
        <f>I47+I48+I49</f>
        <v>17</v>
      </c>
      <c r="J50" s="99"/>
      <c r="K50" s="99"/>
      <c r="L50" s="99"/>
      <c r="M50" s="100"/>
      <c r="N50" s="117">
        <f>N47/N49</f>
        <v>0.52941176470588236</v>
      </c>
      <c r="O50" s="276"/>
      <c r="P50" s="276"/>
      <c r="Q50" s="276"/>
      <c r="R50" s="276"/>
      <c r="S50" s="276"/>
      <c r="T50" s="117">
        <f>T47/T49</f>
        <v>0.41176470588235292</v>
      </c>
      <c r="U50" s="312" t="s">
        <v>96</v>
      </c>
      <c r="V50" s="313"/>
      <c r="W50" s="314"/>
      <c r="X50" s="9"/>
      <c r="AA50" s="9"/>
      <c r="AB50" s="9"/>
      <c r="AC50" s="9"/>
      <c r="AD50" s="9"/>
    </row>
    <row r="51" spans="1:30" ht="22.5" customHeight="1" x14ac:dyDescent="0.2">
      <c r="A51" s="309" t="s">
        <v>42</v>
      </c>
      <c r="B51" s="310"/>
      <c r="C51" s="310"/>
      <c r="D51" s="310"/>
      <c r="E51" s="310"/>
      <c r="F51" s="310"/>
      <c r="G51" s="310"/>
      <c r="H51" s="310"/>
      <c r="I51" s="94">
        <f>I47/$I$50</f>
        <v>0.88235294117647056</v>
      </c>
      <c r="J51" s="94">
        <f>J47/$I$50</f>
        <v>0.70588235294117652</v>
      </c>
      <c r="K51" s="94">
        <f>K47/$I$50</f>
        <v>0.70588235294117652</v>
      </c>
      <c r="L51" s="94">
        <f>L47/$I$50</f>
        <v>0.23529411764705882</v>
      </c>
      <c r="M51" s="94">
        <f>M47/$I$50</f>
        <v>0.29411764705882354</v>
      </c>
      <c r="N51" s="95"/>
      <c r="O51" s="94">
        <f>O47/$I$50</f>
        <v>0</v>
      </c>
      <c r="P51" s="94">
        <f>P47/$I$50</f>
        <v>1</v>
      </c>
      <c r="Q51" s="94">
        <f>Q47/$I$50</f>
        <v>0.47058823529411764</v>
      </c>
      <c r="R51" s="94">
        <f>R47/$I$50</f>
        <v>0.35294117647058826</v>
      </c>
      <c r="S51" s="94">
        <f>S47/$I$50</f>
        <v>0.23529411764705882</v>
      </c>
      <c r="T51" s="96"/>
      <c r="U51" s="312"/>
      <c r="V51" s="313"/>
      <c r="W51" s="314"/>
      <c r="X51" s="50"/>
      <c r="Y51" s="50"/>
      <c r="Z51" s="50"/>
      <c r="AA51" s="50"/>
      <c r="AB51" s="50"/>
    </row>
    <row r="52" spans="1:30" ht="20.25" customHeight="1" x14ac:dyDescent="0.2">
      <c r="A52" s="286" t="s">
        <v>133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8"/>
    </row>
    <row r="53" spans="1:30" ht="20.25" customHeight="1" x14ac:dyDescent="0.2">
      <c r="A53" s="295" t="s">
        <v>132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7"/>
    </row>
    <row r="54" spans="1:30" ht="18" customHeight="1" x14ac:dyDescent="0.2">
      <c r="A54" s="292" t="s">
        <v>131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4"/>
    </row>
    <row r="55" spans="1:30" ht="18" customHeight="1" x14ac:dyDescent="0.2">
      <c r="A55" s="286" t="s">
        <v>134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8"/>
    </row>
    <row r="56" spans="1:30" ht="18" customHeight="1" x14ac:dyDescent="0.2">
      <c r="A56" s="280" t="s">
        <v>135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2"/>
    </row>
    <row r="57" spans="1:30" ht="18" customHeight="1" x14ac:dyDescent="0.2">
      <c r="A57" s="277" t="s">
        <v>136</v>
      </c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9"/>
    </row>
    <row r="58" spans="1:30" ht="20.25" customHeight="1" x14ac:dyDescent="0.2">
      <c r="A58" s="286" t="s">
        <v>6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8"/>
    </row>
    <row r="59" spans="1:30" ht="18" customHeight="1" x14ac:dyDescent="0.2">
      <c r="A59" s="283" t="s">
        <v>129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5"/>
    </row>
    <row r="60" spans="1:30" ht="22.5" customHeight="1" thickBot="1" x14ac:dyDescent="0.25">
      <c r="A60" s="273" t="s">
        <v>130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5"/>
    </row>
    <row r="61" spans="1:30" x14ac:dyDescent="0.2">
      <c r="H61" s="45">
        <f t="shared" ref="H61:M61" si="14">$N$50*100</f>
        <v>52.941176470588239</v>
      </c>
      <c r="I61" s="45">
        <f t="shared" si="14"/>
        <v>52.941176470588239</v>
      </c>
      <c r="J61" s="45">
        <f t="shared" si="14"/>
        <v>52.941176470588239</v>
      </c>
      <c r="K61" s="45">
        <f t="shared" si="14"/>
        <v>52.941176470588239</v>
      </c>
      <c r="L61" s="45">
        <f t="shared" si="14"/>
        <v>52.941176470588239</v>
      </c>
      <c r="M61" s="45">
        <f t="shared" si="14"/>
        <v>52.941176470588239</v>
      </c>
      <c r="O61" s="49">
        <f>$T$50*100</f>
        <v>41.17647058823529</v>
      </c>
      <c r="P61" s="49">
        <f>$T$50*100</f>
        <v>41.17647058823529</v>
      </c>
      <c r="Q61" s="49">
        <f>$T$50*100</f>
        <v>41.17647058823529</v>
      </c>
      <c r="R61" s="49">
        <f>$T$50*100</f>
        <v>41.17647058823529</v>
      </c>
      <c r="S61" s="49">
        <f>$T$50*100</f>
        <v>41.17647058823529</v>
      </c>
    </row>
  </sheetData>
  <sheetProtection selectLockedCells="1" selectUnlockedCells="1"/>
  <dataConsolidate/>
  <mergeCells count="48">
    <mergeCell ref="A60:W60"/>
    <mergeCell ref="A54:W54"/>
    <mergeCell ref="A55:W55"/>
    <mergeCell ref="A56:W56"/>
    <mergeCell ref="A57:W57"/>
    <mergeCell ref="A58:W58"/>
    <mergeCell ref="A59:W59"/>
    <mergeCell ref="A53:W53"/>
    <mergeCell ref="A47:H47"/>
    <mergeCell ref="X47:Y47"/>
    <mergeCell ref="A48:H48"/>
    <mergeCell ref="X48:Y48"/>
    <mergeCell ref="A49:H49"/>
    <mergeCell ref="X49:Y49"/>
    <mergeCell ref="A50:H50"/>
    <mergeCell ref="O50:S50"/>
    <mergeCell ref="U50:W51"/>
    <mergeCell ref="A51:H51"/>
    <mergeCell ref="A52:W52"/>
    <mergeCell ref="AA11:AB11"/>
    <mergeCell ref="A8:L8"/>
    <mergeCell ref="M8:T8"/>
    <mergeCell ref="A9:U9"/>
    <mergeCell ref="A10:A11"/>
    <mergeCell ref="B10:E11"/>
    <mergeCell ref="F10:F11"/>
    <mergeCell ref="G10:G11"/>
    <mergeCell ref="H10:M10"/>
    <mergeCell ref="N10:N11"/>
    <mergeCell ref="O10:S10"/>
    <mergeCell ref="T10:T11"/>
    <mergeCell ref="U10:U11"/>
    <mergeCell ref="V10:V11"/>
    <mergeCell ref="W10:W11"/>
    <mergeCell ref="Y11:Z11"/>
    <mergeCell ref="A5:L5"/>
    <mergeCell ref="M5:T5"/>
    <mergeCell ref="A6:L6"/>
    <mergeCell ref="M6:T6"/>
    <mergeCell ref="A7:L7"/>
    <mergeCell ref="M7:T7"/>
    <mergeCell ref="A4:L4"/>
    <mergeCell ref="M4:T4"/>
    <mergeCell ref="A1:T1"/>
    <mergeCell ref="A2:L2"/>
    <mergeCell ref="M2:T2"/>
    <mergeCell ref="A3:L3"/>
    <mergeCell ref="M3:T3"/>
  </mergeCells>
  <dataValidations count="3">
    <dataValidation type="list" allowBlank="1" showErrorMessage="1" sqref="M5:T5">
      <formula1>"Общеобразовательная школа,Гимназия,Лицей,Школа с углубленным изучением отдельных предметов"</formula1>
    </dataValidation>
    <dataValidation type="list" allowBlank="1" showErrorMessage="1" sqref="M4:T4">
      <formula1>"Начальная школа,Основная школа,Средняя школа"</formula1>
    </dataValidation>
    <dataValidation type="list" allowBlank="1" showErrorMessage="1" sqref="M2:T2">
      <formula1>"Амурский,Аяно-Майский,Бикинский,Ванинский,Верхнебуреинский,Вяземский,Комсомольский,им.Лазо,Нанайский,Николаевский,Охотский,им.П.Осипенко,Советско-Гаванский,Солнечный,Тугуро-Чумиканский,Ульчский,Хабаровский,г.Комсомольск-на-Амуре,г.Хабаровск"</formula1>
    </dataValidation>
  </dataValidations>
  <pageMargins left="0.16" right="0.16" top="0.98402777777777772" bottom="0.98402777777777772" header="0.51180555555555551" footer="0.51180555555555551"/>
  <pageSetup paperSize="9" scale="75" firstPageNumber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7"/>
  <sheetViews>
    <sheetView topLeftCell="B1" zoomScaleNormal="100" workbookViewId="0">
      <selection activeCell="E17" sqref="E17"/>
    </sheetView>
  </sheetViews>
  <sheetFormatPr defaultRowHeight="12.75" x14ac:dyDescent="0.2"/>
  <cols>
    <col min="1" max="1" width="5.42578125" customWidth="1"/>
    <col min="2" max="2" width="85.5703125" customWidth="1"/>
    <col min="3" max="3" width="7.5703125" customWidth="1"/>
    <col min="5" max="5" width="14.140625" customWidth="1"/>
    <col min="6" max="6" width="16.85546875" customWidth="1"/>
    <col min="7" max="7" width="7.140625" customWidth="1"/>
  </cols>
  <sheetData>
    <row r="1" spans="1:7" ht="18.75" customHeight="1" thickBot="1" x14ac:dyDescent="0.35">
      <c r="A1" s="218" t="s">
        <v>24</v>
      </c>
      <c r="B1" s="218"/>
      <c r="C1" s="218"/>
      <c r="D1" s="218"/>
      <c r="E1" s="218"/>
      <c r="F1" s="218"/>
      <c r="G1" s="218"/>
    </row>
    <row r="2" spans="1:7" x14ac:dyDescent="0.2">
      <c r="A2" s="318" t="s">
        <v>90</v>
      </c>
      <c r="B2" s="319"/>
      <c r="C2" s="315" t="str">
        <f>'Ф2-Г3'!M6</f>
        <v>1В</v>
      </c>
      <c r="D2" s="316"/>
      <c r="E2" s="316"/>
      <c r="F2" s="316"/>
      <c r="G2" s="317"/>
    </row>
    <row r="3" spans="1:7" ht="13.5" thickBot="1" x14ac:dyDescent="0.25">
      <c r="A3" s="219" t="s">
        <v>123</v>
      </c>
      <c r="B3" s="220"/>
      <c r="C3" s="220"/>
      <c r="D3" s="220"/>
      <c r="E3" s="220"/>
      <c r="F3" s="220"/>
      <c r="G3" s="221"/>
    </row>
    <row r="4" spans="1:7" ht="15" customHeight="1" x14ac:dyDescent="0.2">
      <c r="A4" s="222" t="s">
        <v>3</v>
      </c>
      <c r="B4" s="140" t="s">
        <v>88</v>
      </c>
      <c r="C4" s="224" t="s">
        <v>8</v>
      </c>
      <c r="D4" s="224"/>
      <c r="E4" s="224"/>
      <c r="F4" s="224" t="s">
        <v>9</v>
      </c>
      <c r="G4" s="226" t="s">
        <v>10</v>
      </c>
    </row>
    <row r="5" spans="1:7" ht="29.25" customHeight="1" x14ac:dyDescent="0.2">
      <c r="A5" s="223"/>
      <c r="B5" s="141" t="s">
        <v>89</v>
      </c>
      <c r="C5" s="141" t="s">
        <v>11</v>
      </c>
      <c r="D5" s="141" t="s">
        <v>12</v>
      </c>
      <c r="E5" s="141" t="s">
        <v>13</v>
      </c>
      <c r="F5" s="225"/>
      <c r="G5" s="227"/>
    </row>
    <row r="6" spans="1:7" ht="27.75" customHeight="1" x14ac:dyDescent="0.2">
      <c r="A6" s="3">
        <v>1</v>
      </c>
      <c r="B6" s="4" t="s">
        <v>112</v>
      </c>
      <c r="C6" s="212" t="s">
        <v>125</v>
      </c>
      <c r="D6" s="213"/>
      <c r="E6" s="213"/>
      <c r="F6" s="213"/>
      <c r="G6" s="214"/>
    </row>
    <row r="7" spans="1:7" ht="23.25" customHeight="1" x14ac:dyDescent="0.2">
      <c r="A7" s="3">
        <v>2</v>
      </c>
      <c r="B7" s="4" t="s">
        <v>113</v>
      </c>
      <c r="C7" s="8">
        <f>'Ф2-Г3'!I47/'Ф2-Г3'!I50</f>
        <v>0.88235294117647056</v>
      </c>
      <c r="D7" s="8">
        <f>'Ф2-Г3'!I48/'Ф2-Г3'!I50</f>
        <v>0.11764705882352941</v>
      </c>
      <c r="E7" s="8">
        <f>'Ф2-Г3'!I49/'Ф2-Г3'!I50</f>
        <v>0</v>
      </c>
      <c r="F7" s="5" t="s">
        <v>14</v>
      </c>
      <c r="G7" s="6">
        <v>1</v>
      </c>
    </row>
    <row r="8" spans="1:7" ht="24.75" customHeight="1" x14ac:dyDescent="0.2">
      <c r="A8" s="3">
        <v>3</v>
      </c>
      <c r="B8" s="4" t="s">
        <v>114</v>
      </c>
      <c r="C8" s="8">
        <f>'Ф2-Г3'!J47/'Ф2-Г3'!I50</f>
        <v>0.70588235294117652</v>
      </c>
      <c r="D8" s="8">
        <f>'Ф2-Г3'!J48/'Ф2-Г3'!I50</f>
        <v>0.29411764705882354</v>
      </c>
      <c r="E8" s="8">
        <f>'Ф2-Г3'!J49/'Ф2-Г3'!I50</f>
        <v>0</v>
      </c>
      <c r="F8" s="5" t="s">
        <v>14</v>
      </c>
      <c r="G8" s="6">
        <v>1</v>
      </c>
    </row>
    <row r="9" spans="1:7" ht="27.75" customHeight="1" x14ac:dyDescent="0.2">
      <c r="A9" s="3">
        <v>4</v>
      </c>
      <c r="B9" s="4" t="s">
        <v>115</v>
      </c>
      <c r="C9" s="8">
        <f>'Ф2-Г3'!K47/'Ф2-Г3'!I50</f>
        <v>0.70588235294117652</v>
      </c>
      <c r="D9" s="8">
        <f>'Ф2-Г3'!K48/'Ф2-Г3'!I50</f>
        <v>0.29411764705882354</v>
      </c>
      <c r="E9" s="8">
        <f>'Ф2-Г3'!K49/'Ф2-Г3'!I50</f>
        <v>0</v>
      </c>
      <c r="F9" s="5" t="s">
        <v>14</v>
      </c>
      <c r="G9" s="6">
        <v>1</v>
      </c>
    </row>
    <row r="10" spans="1:7" ht="40.5" customHeight="1" x14ac:dyDescent="0.2">
      <c r="A10" s="3">
        <v>5</v>
      </c>
      <c r="B10" s="4" t="s">
        <v>116</v>
      </c>
      <c r="C10" s="8">
        <f>'Ф2-Г3'!L47/'Ф2-Г3'!I50</f>
        <v>0.23529411764705882</v>
      </c>
      <c r="D10" s="8">
        <f>'Ф2-Г3'!L48/'Ф2-Г3'!I50</f>
        <v>0.76470588235294112</v>
      </c>
      <c r="E10" s="8">
        <f>'Ф2-Г3'!L49/'Ф2-Г3'!I50</f>
        <v>0</v>
      </c>
      <c r="F10" s="5" t="s">
        <v>14</v>
      </c>
      <c r="G10" s="6">
        <v>1</v>
      </c>
    </row>
    <row r="11" spans="1:7" ht="33" customHeight="1" x14ac:dyDescent="0.2">
      <c r="A11" s="3">
        <v>6</v>
      </c>
      <c r="B11" s="4" t="s">
        <v>117</v>
      </c>
      <c r="C11" s="8">
        <f>'Ф2-Г3'!M47/'Ф2-Г3'!I50</f>
        <v>0.29411764705882354</v>
      </c>
      <c r="D11" s="8">
        <f>'Ф2-Г3'!M48/'Ф2-Г3'!I50</f>
        <v>0.6470588235294118</v>
      </c>
      <c r="E11" s="8">
        <f>'Ф2-Г3'!M49/'Ф2-Г3'!I50</f>
        <v>0</v>
      </c>
      <c r="F11" s="5" t="s">
        <v>14</v>
      </c>
      <c r="G11" s="6">
        <v>1</v>
      </c>
    </row>
    <row r="12" spans="1:7" ht="14.25" customHeight="1" x14ac:dyDescent="0.2">
      <c r="A12" s="215" t="s">
        <v>91</v>
      </c>
      <c r="B12" s="216"/>
      <c r="C12" s="216"/>
      <c r="D12" s="216"/>
      <c r="E12" s="216"/>
      <c r="F12" s="216"/>
      <c r="G12" s="217"/>
    </row>
    <row r="13" spans="1:7" ht="24" customHeight="1" x14ac:dyDescent="0.2">
      <c r="A13" s="3">
        <v>7</v>
      </c>
      <c r="B13" s="4" t="s">
        <v>118</v>
      </c>
      <c r="C13" s="42">
        <f>'Ф2-Г3'!O47/'Ф2-Г3'!I50</f>
        <v>0</v>
      </c>
      <c r="D13" s="42">
        <f>'Ф2-Г3'!O48/'Ф2-Г3'!$I$50</f>
        <v>0.94117647058823528</v>
      </c>
      <c r="E13" s="42">
        <f>'Ф2-Г3'!O$49/'Ф2-Г3'!$I$50</f>
        <v>0</v>
      </c>
      <c r="F13" s="39" t="s">
        <v>15</v>
      </c>
      <c r="G13" s="41">
        <v>1</v>
      </c>
    </row>
    <row r="14" spans="1:7" ht="30" customHeight="1" x14ac:dyDescent="0.2">
      <c r="A14" s="3">
        <v>8</v>
      </c>
      <c r="B14" s="4" t="s">
        <v>119</v>
      </c>
      <c r="C14" s="43">
        <f>'Ф2-Г3'!P47/'Ф2-Г3'!I50</f>
        <v>1</v>
      </c>
      <c r="D14" s="42">
        <f>'Ф2-Г3'!P48/'Ф2-Г3'!$I$50</f>
        <v>0</v>
      </c>
      <c r="E14" s="42">
        <f>'Ф2-Г3'!P49/'Ф2-Г3'!$I$50</f>
        <v>0</v>
      </c>
      <c r="F14" s="39" t="s">
        <v>15</v>
      </c>
      <c r="G14" s="41">
        <v>1</v>
      </c>
    </row>
    <row r="15" spans="1:7" ht="17.25" customHeight="1" x14ac:dyDescent="0.2">
      <c r="A15" s="3">
        <v>9</v>
      </c>
      <c r="B15" s="64" t="s">
        <v>120</v>
      </c>
      <c r="C15" s="43">
        <f>'Ф2-Г3'!Q47/'Ф2-Г3'!I50</f>
        <v>0.47058823529411764</v>
      </c>
      <c r="D15" s="42">
        <f>'Ф2-Г3'!Q48/'Ф2-Г3'!$I$50</f>
        <v>0.52941176470588236</v>
      </c>
      <c r="E15" s="42">
        <f>'Ф2-Г3'!Q49/'Ф2-Г3'!$I$50</f>
        <v>0</v>
      </c>
      <c r="F15" s="39" t="s">
        <v>15</v>
      </c>
      <c r="G15" s="41">
        <v>1</v>
      </c>
    </row>
    <row r="16" spans="1:7" ht="18.75" customHeight="1" x14ac:dyDescent="0.2">
      <c r="A16" s="3">
        <v>10</v>
      </c>
      <c r="B16" s="64" t="s">
        <v>121</v>
      </c>
      <c r="C16" s="43">
        <f>'Ф2-Г3'!R47/'Ф2-Г3'!I50</f>
        <v>0.35294117647058826</v>
      </c>
      <c r="D16" s="42">
        <f>'Ф2-Г3'!R48/'Ф2-Г3'!$I$50</f>
        <v>0.6470588235294118</v>
      </c>
      <c r="E16" s="42">
        <f>'Ф2-Г3'!R49/'Ф2-Г3'!$I$50</f>
        <v>0</v>
      </c>
      <c r="F16" s="39" t="s">
        <v>15</v>
      </c>
      <c r="G16" s="41">
        <v>1</v>
      </c>
    </row>
    <row r="17" spans="1:7" ht="18" customHeight="1" x14ac:dyDescent="0.2">
      <c r="A17" s="3">
        <v>11</v>
      </c>
      <c r="B17" s="64" t="s">
        <v>122</v>
      </c>
      <c r="C17" s="43">
        <f>'Ф2-Г3'!S47/'Ф2-Г3'!I50</f>
        <v>0.23529411764705882</v>
      </c>
      <c r="D17" s="42">
        <f>'Ф2-Г3'!S48/'Ф2-Г3'!$I$50</f>
        <v>0.58823529411764708</v>
      </c>
      <c r="E17" s="42">
        <f>'Ф2-Г3'!S49/'Ф2-Г3'!$I$50</f>
        <v>0</v>
      </c>
      <c r="F17" s="39" t="s">
        <v>15</v>
      </c>
      <c r="G17" s="41">
        <v>1</v>
      </c>
    </row>
  </sheetData>
  <sheetProtection selectLockedCells="1" selectUnlockedCells="1"/>
  <mergeCells count="10">
    <mergeCell ref="C6:G6"/>
    <mergeCell ref="A12:G12"/>
    <mergeCell ref="A1:G1"/>
    <mergeCell ref="A2:B2"/>
    <mergeCell ref="C2:G2"/>
    <mergeCell ref="A3:G3"/>
    <mergeCell ref="A4:A5"/>
    <mergeCell ref="C4:E4"/>
    <mergeCell ref="F4:F5"/>
    <mergeCell ref="G4:G5"/>
  </mergeCells>
  <pageMargins left="0.74791666666666667" right="0.74791666666666667" top="0.98402777777777772" bottom="0.98402777777777772" header="0.51180555555555551" footer="0.51180555555555551"/>
  <pageSetup paperSize="9" scale="85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10"/>
  <sheetViews>
    <sheetView zoomScaleNormal="100" zoomScalePageLayoutView="90" workbookViewId="0">
      <selection activeCell="Q6" sqref="Q6"/>
    </sheetView>
  </sheetViews>
  <sheetFormatPr defaultRowHeight="12.75" x14ac:dyDescent="0.2"/>
  <cols>
    <col min="1" max="1" width="25.42578125" customWidth="1"/>
    <col min="2" max="3" width="5.5703125" hidden="1" customWidth="1"/>
    <col min="4" max="4" width="5.5703125" customWidth="1"/>
    <col min="5" max="5" width="6.42578125" customWidth="1"/>
    <col min="6" max="6" width="5.5703125" customWidth="1"/>
    <col min="7" max="7" width="6.28515625" customWidth="1"/>
    <col min="8" max="8" width="5.5703125" customWidth="1"/>
    <col min="9" max="9" width="6.85546875" customWidth="1"/>
    <col min="10" max="10" width="5.5703125" customWidth="1"/>
    <col min="11" max="11" width="6.85546875" customWidth="1"/>
    <col min="12" max="12" width="5.5703125" customWidth="1"/>
    <col min="13" max="13" width="6.5703125" customWidth="1"/>
    <col min="14" max="14" width="7" customWidth="1"/>
    <col min="15" max="19" width="5.5703125" customWidth="1"/>
    <col min="20" max="20" width="20.7109375" customWidth="1"/>
    <col min="21" max="30" width="6.42578125" customWidth="1"/>
  </cols>
  <sheetData>
    <row r="1" spans="1:30" ht="18" customHeight="1" x14ac:dyDescent="0.25">
      <c r="A1" s="208" t="s">
        <v>110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71" t="str">
        <f>'Ф2-Г3'!M6</f>
        <v>1В</v>
      </c>
      <c r="O1" s="63"/>
      <c r="P1" s="63"/>
      <c r="Q1" s="63"/>
      <c r="R1" s="63"/>
      <c r="S1" s="63"/>
    </row>
    <row r="2" spans="1:30" ht="13.5" thickBot="1" x14ac:dyDescent="0.25"/>
    <row r="3" spans="1:30" x14ac:dyDescent="0.2">
      <c r="A3" s="231"/>
      <c r="B3" s="233" t="s">
        <v>97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65"/>
      <c r="O3" s="65"/>
      <c r="P3" s="65"/>
      <c r="Q3" s="65"/>
      <c r="R3" s="65"/>
      <c r="S3" s="65"/>
      <c r="T3" s="235"/>
      <c r="U3" s="237" t="s">
        <v>98</v>
      </c>
      <c r="V3" s="233"/>
      <c r="W3" s="233"/>
      <c r="X3" s="233"/>
      <c r="Y3" s="233"/>
      <c r="Z3" s="233"/>
      <c r="AA3" s="233"/>
      <c r="AB3" s="233"/>
      <c r="AC3" s="233"/>
      <c r="AD3" s="234"/>
    </row>
    <row r="4" spans="1:30" x14ac:dyDescent="0.2">
      <c r="A4" s="232"/>
      <c r="B4" s="238">
        <v>1</v>
      </c>
      <c r="C4" s="239"/>
      <c r="D4" s="240">
        <v>2</v>
      </c>
      <c r="E4" s="241"/>
      <c r="F4" s="240">
        <v>3</v>
      </c>
      <c r="G4" s="241"/>
      <c r="H4" s="240">
        <v>4</v>
      </c>
      <c r="I4" s="241"/>
      <c r="J4" s="240">
        <v>5</v>
      </c>
      <c r="K4" s="241"/>
      <c r="L4" s="240">
        <v>6</v>
      </c>
      <c r="M4" s="242"/>
      <c r="N4" s="66"/>
      <c r="O4" s="66"/>
      <c r="P4" s="66"/>
      <c r="Q4" s="66"/>
      <c r="R4" s="66"/>
      <c r="S4" s="66"/>
      <c r="T4" s="236"/>
      <c r="U4" s="243">
        <v>7</v>
      </c>
      <c r="V4" s="244"/>
      <c r="W4" s="245">
        <v>8</v>
      </c>
      <c r="X4" s="246"/>
      <c r="Y4" s="228">
        <v>9</v>
      </c>
      <c r="Z4" s="244"/>
      <c r="AA4" s="245">
        <v>10</v>
      </c>
      <c r="AB4" s="246"/>
      <c r="AC4" s="228">
        <v>11</v>
      </c>
      <c r="AD4" s="229"/>
    </row>
    <row r="5" spans="1:30" ht="13.5" thickBot="1" x14ac:dyDescent="0.25">
      <c r="A5" s="322"/>
      <c r="B5" s="92"/>
      <c r="C5" s="75"/>
      <c r="D5" s="15" t="s">
        <v>23</v>
      </c>
      <c r="E5" s="15" t="s">
        <v>5</v>
      </c>
      <c r="F5" s="15" t="s">
        <v>23</v>
      </c>
      <c r="G5" s="15" t="s">
        <v>5</v>
      </c>
      <c r="H5" s="15" t="s">
        <v>23</v>
      </c>
      <c r="I5" s="15" t="s">
        <v>5</v>
      </c>
      <c r="J5" s="15" t="s">
        <v>23</v>
      </c>
      <c r="K5" s="15" t="s">
        <v>5</v>
      </c>
      <c r="L5" s="15" t="s">
        <v>23</v>
      </c>
      <c r="M5" s="69" t="s">
        <v>5</v>
      </c>
      <c r="N5" s="67"/>
      <c r="O5" s="67"/>
      <c r="P5" s="67"/>
      <c r="Q5" s="67"/>
      <c r="R5" s="67"/>
      <c r="S5" s="67"/>
      <c r="T5" s="236"/>
      <c r="U5" s="72" t="s">
        <v>23</v>
      </c>
      <c r="V5" s="30" t="s">
        <v>5</v>
      </c>
      <c r="W5" s="30" t="s">
        <v>23</v>
      </c>
      <c r="X5" s="30" t="s">
        <v>5</v>
      </c>
      <c r="Y5" s="30" t="s">
        <v>23</v>
      </c>
      <c r="Z5" s="30" t="s">
        <v>5</v>
      </c>
      <c r="AA5" s="30" t="s">
        <v>23</v>
      </c>
      <c r="AB5" s="30" t="s">
        <v>5</v>
      </c>
      <c r="AC5" s="30" t="s">
        <v>23</v>
      </c>
      <c r="AD5" s="31" t="s">
        <v>5</v>
      </c>
    </row>
    <row r="6" spans="1:30" ht="26.25" customHeight="1" x14ac:dyDescent="0.2">
      <c r="A6" s="149" t="s">
        <v>27</v>
      </c>
      <c r="B6" s="76"/>
      <c r="C6" s="77"/>
      <c r="D6" s="144">
        <f>'Ф2-Г3'!I47</f>
        <v>15</v>
      </c>
      <c r="E6" s="33">
        <f>D6/'Ф2-Г3'!$I$50*100</f>
        <v>88.235294117647058</v>
      </c>
      <c r="F6" s="144">
        <f>'Ф2-Г3'!J47</f>
        <v>12</v>
      </c>
      <c r="G6" s="33">
        <f>F6/'Ф2-Г3'!$I$50*100</f>
        <v>70.588235294117652</v>
      </c>
      <c r="H6" s="144">
        <f>'Ф2-Г3'!K47</f>
        <v>12</v>
      </c>
      <c r="I6" s="33">
        <f>H6/'Ф2-Г3'!$I$50*100</f>
        <v>70.588235294117652</v>
      </c>
      <c r="J6" s="144">
        <f>'Ф2-Г3'!L47</f>
        <v>4</v>
      </c>
      <c r="K6" s="33">
        <f>J6/'Ф2-Г3'!$I$50*100</f>
        <v>23.52941176470588</v>
      </c>
      <c r="L6" s="144">
        <f>'Ф2-Г3'!M47</f>
        <v>5</v>
      </c>
      <c r="M6" s="70">
        <f>L6/'Ф2-Г3'!$I$50*100</f>
        <v>29.411764705882355</v>
      </c>
      <c r="N6" s="68"/>
      <c r="O6" s="68"/>
      <c r="P6" s="68"/>
      <c r="Q6" s="68"/>
      <c r="R6" s="68"/>
      <c r="S6" s="68"/>
      <c r="T6" s="32" t="s">
        <v>27</v>
      </c>
      <c r="U6" s="73">
        <f>'Ф2-Г3'!O47</f>
        <v>0</v>
      </c>
      <c r="V6" s="46">
        <f>U6/'Ф2-Г3'!$I$50*100</f>
        <v>0</v>
      </c>
      <c r="W6" s="143">
        <f>'Ф2-Г3'!P47</f>
        <v>17</v>
      </c>
      <c r="X6" s="46">
        <f>W6/'Ф2-Г3'!$I$50*100</f>
        <v>100</v>
      </c>
      <c r="Y6" s="143">
        <f>'Ф2-Г3'!Q47</f>
        <v>8</v>
      </c>
      <c r="Z6" s="46">
        <f>Y6/'Ф2-Г3'!$I$50*100</f>
        <v>47.058823529411761</v>
      </c>
      <c r="AA6" s="143">
        <f>'Ф2-Г3'!R47</f>
        <v>6</v>
      </c>
      <c r="AB6" s="46">
        <f>AA6/'Ф2-Г3'!$I$50*100</f>
        <v>35.294117647058826</v>
      </c>
      <c r="AC6" s="143">
        <f>'Ф2-Г3'!S47</f>
        <v>4</v>
      </c>
      <c r="AD6" s="48">
        <f>AC6/'Ф2-Г3'!$I$50*100</f>
        <v>23.52941176470588</v>
      </c>
    </row>
    <row r="7" spans="1:30" ht="26.25" customHeight="1" x14ac:dyDescent="0.2">
      <c r="A7" s="32" t="s">
        <v>29</v>
      </c>
      <c r="B7" s="76"/>
      <c r="C7" s="77"/>
      <c r="D7" s="144">
        <f>'Ф2-Г3'!I48</f>
        <v>2</v>
      </c>
      <c r="E7" s="33">
        <f>D7/'Ф2-Г3'!$I$50*100</f>
        <v>11.76470588235294</v>
      </c>
      <c r="F7" s="144">
        <f>'Ф2-Г3'!J48</f>
        <v>5</v>
      </c>
      <c r="G7" s="33">
        <f>F7/'Ф2-Г3'!$I$50*100</f>
        <v>29.411764705882355</v>
      </c>
      <c r="H7" s="144">
        <f>'Ф2-Г3'!K48</f>
        <v>5</v>
      </c>
      <c r="I7" s="33">
        <f>H7/'Ф2-Г3'!$I$50*100</f>
        <v>29.411764705882355</v>
      </c>
      <c r="J7" s="144">
        <f>'Ф2-Г3'!L48</f>
        <v>13</v>
      </c>
      <c r="K7" s="33">
        <f>J7/'Ф2-Г3'!$I$50*100</f>
        <v>76.470588235294116</v>
      </c>
      <c r="L7" s="144">
        <f>'Ф2-Г3'!M48</f>
        <v>11</v>
      </c>
      <c r="M7" s="70">
        <f>L7/'Ф2-Г3'!$I$50*100</f>
        <v>64.705882352941174</v>
      </c>
      <c r="N7" s="68"/>
      <c r="O7" s="68"/>
      <c r="P7" s="68"/>
      <c r="Q7" s="68"/>
      <c r="R7" s="68"/>
      <c r="S7" s="68"/>
      <c r="T7" s="32" t="s">
        <v>29</v>
      </c>
      <c r="U7" s="73">
        <f>'Ф2-Г3'!O48</f>
        <v>16</v>
      </c>
      <c r="V7" s="46">
        <f>U7/'Ф2-Г3'!$I$50*100</f>
        <v>94.117647058823522</v>
      </c>
      <c r="W7" s="143">
        <f>'Ф2-Г3'!P48</f>
        <v>0</v>
      </c>
      <c r="X7" s="46">
        <f>W7/'Ф2-Г3'!$I$50*100</f>
        <v>0</v>
      </c>
      <c r="Y7" s="143">
        <f>'Ф2-Г3'!Q48</f>
        <v>9</v>
      </c>
      <c r="Z7" s="46">
        <f>Y7/'Ф2-Г3'!$I$50*100</f>
        <v>52.941176470588239</v>
      </c>
      <c r="AA7" s="143">
        <f>'Ф2-Г3'!R48</f>
        <v>11</v>
      </c>
      <c r="AB7" s="46">
        <f>AA7/'Ф2-Г3'!$I$50*100</f>
        <v>64.705882352941174</v>
      </c>
      <c r="AC7" s="143">
        <f>'Ф2-Г3'!S48</f>
        <v>10</v>
      </c>
      <c r="AD7" s="48">
        <f>AC7/'Ф2-Г3'!$I$50*100</f>
        <v>58.82352941176471</v>
      </c>
    </row>
    <row r="8" spans="1:30" ht="26.25" customHeight="1" x14ac:dyDescent="0.2">
      <c r="A8" s="32" t="s">
        <v>28</v>
      </c>
      <c r="B8" s="76"/>
      <c r="C8" s="77"/>
      <c r="D8" s="144">
        <f>'Ф2-Г3'!I49</f>
        <v>0</v>
      </c>
      <c r="E8" s="33">
        <f>D8/'Ф2-Г3'!$I$50*100</f>
        <v>0</v>
      </c>
      <c r="F8" s="144">
        <f>'Ф2-Г3'!J49</f>
        <v>0</v>
      </c>
      <c r="G8" s="33">
        <f>F8/'Ф2-Г3'!$I$50*100</f>
        <v>0</v>
      </c>
      <c r="H8" s="144">
        <f>'Ф2-Г3'!K49</f>
        <v>0</v>
      </c>
      <c r="I8" s="33">
        <f>H8/'Ф2-Г3'!$I$50*100</f>
        <v>0</v>
      </c>
      <c r="J8" s="144">
        <f>'Ф2-Г3'!L49</f>
        <v>0</v>
      </c>
      <c r="K8" s="33">
        <f>J8/'Ф2-Г3'!$I$50*100</f>
        <v>0</v>
      </c>
      <c r="L8" s="144">
        <f>'Ф2-Г3'!M49</f>
        <v>0</v>
      </c>
      <c r="M8" s="70">
        <f>L8/'Ф2-Г3'!$I$50*100</f>
        <v>0</v>
      </c>
      <c r="N8" s="68"/>
      <c r="O8" s="68"/>
      <c r="P8" s="68"/>
      <c r="Q8" s="68"/>
      <c r="R8" s="68"/>
      <c r="S8" s="68"/>
      <c r="T8" s="32" t="s">
        <v>28</v>
      </c>
      <c r="U8" s="73">
        <f>'Ф2-Г3'!O49</f>
        <v>0</v>
      </c>
      <c r="V8" s="46">
        <f>U8/'Ф2-Г3'!$I$50*100</f>
        <v>0</v>
      </c>
      <c r="W8" s="143">
        <f>'Ф2-Г3'!P49</f>
        <v>0</v>
      </c>
      <c r="X8" s="46">
        <f>W8/'Ф2-Г3'!$I$50*100</f>
        <v>0</v>
      </c>
      <c r="Y8" s="143">
        <f>'Ф2-Г3'!Q49</f>
        <v>0</v>
      </c>
      <c r="Z8" s="46">
        <f>Y8/'Ф2-Г3'!$I$50*100</f>
        <v>0</v>
      </c>
      <c r="AA8" s="143">
        <f>'Ф2-Г3'!R49</f>
        <v>0</v>
      </c>
      <c r="AB8" s="46">
        <f>AA8/'Ф2-Г3'!$I$50*100</f>
        <v>0</v>
      </c>
      <c r="AC8" s="143">
        <f>'Ф2-Г3'!S49</f>
        <v>0</v>
      </c>
      <c r="AD8" s="48">
        <f>AC8/'Ф2-Г3'!$I$50*100</f>
        <v>0</v>
      </c>
    </row>
    <row r="9" spans="1:30" ht="26.25" customHeight="1" thickBot="1" x14ac:dyDescent="0.25">
      <c r="A9" s="55" t="s">
        <v>50</v>
      </c>
      <c r="B9" s="78"/>
      <c r="C9" s="79"/>
      <c r="D9" s="37">
        <f>'Ф2-Г3'!I51</f>
        <v>0.88235294117647056</v>
      </c>
      <c r="E9" s="145">
        <f>D9</f>
        <v>0.88235294117647056</v>
      </c>
      <c r="F9" s="37">
        <f>'Ф2-Г3'!J51</f>
        <v>0.70588235294117652</v>
      </c>
      <c r="G9" s="145">
        <f>F9</f>
        <v>0.70588235294117652</v>
      </c>
      <c r="H9" s="37">
        <f>'Ф2-Г3'!K51</f>
        <v>0.70588235294117652</v>
      </c>
      <c r="I9" s="145">
        <f>H9</f>
        <v>0.70588235294117652</v>
      </c>
      <c r="J9" s="37">
        <f>'Ф2-Г3'!L51</f>
        <v>0.23529411764705882</v>
      </c>
      <c r="K9" s="145">
        <f>J9</f>
        <v>0.23529411764705882</v>
      </c>
      <c r="L9" s="37">
        <f>'Ф2-Г3'!M51</f>
        <v>0.29411764705882354</v>
      </c>
      <c r="M9" s="146">
        <f>L9</f>
        <v>0.29411764705882354</v>
      </c>
      <c r="N9" s="68"/>
      <c r="O9" s="68"/>
      <c r="P9" s="68"/>
      <c r="Q9" s="68"/>
      <c r="R9" s="68"/>
      <c r="S9" s="68"/>
      <c r="T9" s="55" t="s">
        <v>50</v>
      </c>
      <c r="U9" s="74">
        <f>'Ф2-Г3'!O51</f>
        <v>0</v>
      </c>
      <c r="V9" s="147">
        <f>U9</f>
        <v>0</v>
      </c>
      <c r="W9" s="47">
        <f>'Ф2-Г3'!P51</f>
        <v>1</v>
      </c>
      <c r="X9" s="147">
        <f>W9</f>
        <v>1</v>
      </c>
      <c r="Y9" s="47">
        <f>'Ф2-Г3'!Q51</f>
        <v>0.47058823529411764</v>
      </c>
      <c r="Z9" s="147">
        <f>Y9</f>
        <v>0.47058823529411764</v>
      </c>
      <c r="AA9" s="47">
        <f>'Ф2-Г3'!R51</f>
        <v>0.35294117647058826</v>
      </c>
      <c r="AB9" s="147">
        <f>AA9</f>
        <v>0.35294117647058826</v>
      </c>
      <c r="AC9" s="47">
        <f>'Ф2-Г3'!S51</f>
        <v>0.23529411764705882</v>
      </c>
      <c r="AD9" s="148">
        <f>AC9</f>
        <v>0.23529411764705882</v>
      </c>
    </row>
    <row r="10" spans="1:30" x14ac:dyDescent="0.2">
      <c r="A10" s="97"/>
      <c r="B10" s="97"/>
      <c r="C10" s="97"/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/>
      <c r="J10" s="10"/>
      <c r="K10" s="97"/>
      <c r="L10" s="97"/>
      <c r="M10" s="97"/>
      <c r="N10" s="97"/>
      <c r="T10" s="10">
        <v>7</v>
      </c>
      <c r="U10" s="10">
        <v>8</v>
      </c>
      <c r="V10" s="10">
        <v>9</v>
      </c>
      <c r="W10" s="10">
        <v>10</v>
      </c>
      <c r="X10" s="10">
        <v>11</v>
      </c>
      <c r="Y10" s="10"/>
      <c r="Z10" s="97"/>
      <c r="AA10" s="97"/>
      <c r="AB10" s="97"/>
      <c r="AC10" s="97"/>
      <c r="AD10" s="97"/>
    </row>
  </sheetData>
  <mergeCells count="16">
    <mergeCell ref="AC4:AD4"/>
    <mergeCell ref="A1:M1"/>
    <mergeCell ref="A3:A5"/>
    <mergeCell ref="B3:M3"/>
    <mergeCell ref="T3:T5"/>
    <mergeCell ref="U3:AD3"/>
    <mergeCell ref="B4:C4"/>
    <mergeCell ref="D4:E4"/>
    <mergeCell ref="F4:G4"/>
    <mergeCell ref="H4:I4"/>
    <mergeCell ref="J4:K4"/>
    <mergeCell ref="L4:M4"/>
    <mergeCell ref="U4:V4"/>
    <mergeCell ref="W4:X4"/>
    <mergeCell ref="Y4:Z4"/>
    <mergeCell ref="AA4:AB4"/>
  </mergeCells>
  <pageMargins left="0.7" right="0.7" top="0.75" bottom="0.75" header="0.3" footer="0.3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J17" sqref="J17"/>
    </sheetView>
  </sheetViews>
  <sheetFormatPr defaultRowHeight="12.75" x14ac:dyDescent="0.2"/>
  <cols>
    <col min="1" max="1" width="19.140625" customWidth="1"/>
    <col min="2" max="2" width="5.28515625" customWidth="1"/>
    <col min="3" max="3" width="6.42578125" customWidth="1"/>
    <col min="4" max="4" width="6.5703125" customWidth="1"/>
    <col min="5" max="5" width="7.28515625" customWidth="1"/>
    <col min="6" max="6" width="5.85546875" customWidth="1"/>
    <col min="7" max="7" width="5.5703125" customWidth="1"/>
    <col min="8" max="8" width="5.42578125" customWidth="1"/>
    <col min="9" max="9" width="5.28515625" customWidth="1"/>
    <col min="10" max="10" width="6.42578125" customWidth="1"/>
    <col min="11" max="13" width="6.5703125" customWidth="1"/>
    <col min="14" max="14" width="10.28515625" customWidth="1"/>
    <col min="15" max="15" width="5.85546875" customWidth="1"/>
    <col min="16" max="16" width="6.85546875" customWidth="1"/>
    <col min="17" max="17" width="8.28515625" customWidth="1"/>
    <col min="18" max="18" width="5.85546875" customWidth="1"/>
    <col min="19" max="19" width="6.85546875" customWidth="1"/>
    <col min="20" max="20" width="8.28515625" customWidth="1"/>
  </cols>
  <sheetData>
    <row r="1" spans="1:20" ht="18" x14ac:dyDescent="0.25">
      <c r="A1" s="330" t="s">
        <v>99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20" ht="15.75" x14ac:dyDescent="0.25">
      <c r="A2" s="331" t="s">
        <v>124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4" spans="1:20" ht="41.25" customHeight="1" x14ac:dyDescent="0.2">
      <c r="A4" s="332" t="s">
        <v>100</v>
      </c>
      <c r="B4" s="325" t="s">
        <v>154</v>
      </c>
      <c r="C4" s="325" t="s">
        <v>155</v>
      </c>
      <c r="D4" s="324" t="s">
        <v>101</v>
      </c>
      <c r="E4" s="324"/>
      <c r="F4" s="324" t="s">
        <v>102</v>
      </c>
      <c r="G4" s="324"/>
      <c r="H4" s="327" t="s">
        <v>149</v>
      </c>
      <c r="I4" s="328"/>
      <c r="J4" s="328"/>
      <c r="K4" s="328"/>
      <c r="L4" s="328"/>
      <c r="M4" s="328"/>
      <c r="N4" s="329"/>
      <c r="O4" s="324" t="s">
        <v>151</v>
      </c>
      <c r="P4" s="324"/>
      <c r="Q4" s="324"/>
      <c r="R4" s="324" t="s">
        <v>152</v>
      </c>
      <c r="S4" s="324"/>
      <c r="T4" s="324"/>
    </row>
    <row r="5" spans="1:20" ht="72.75" customHeight="1" x14ac:dyDescent="0.2">
      <c r="A5" s="332"/>
      <c r="B5" s="333"/>
      <c r="C5" s="333"/>
      <c r="D5" s="324"/>
      <c r="E5" s="324"/>
      <c r="F5" s="324"/>
      <c r="G5" s="324"/>
      <c r="H5" s="324" t="s">
        <v>103</v>
      </c>
      <c r="I5" s="324"/>
      <c r="J5" s="324" t="s">
        <v>104</v>
      </c>
      <c r="K5" s="324"/>
      <c r="L5" s="324" t="s">
        <v>147</v>
      </c>
      <c r="M5" s="324"/>
      <c r="N5" s="325" t="s">
        <v>153</v>
      </c>
      <c r="O5" s="325" t="s">
        <v>156</v>
      </c>
      <c r="P5" s="325" t="s">
        <v>105</v>
      </c>
      <c r="Q5" s="325" t="s">
        <v>150</v>
      </c>
      <c r="R5" s="325" t="s">
        <v>156</v>
      </c>
      <c r="S5" s="325" t="s">
        <v>105</v>
      </c>
      <c r="T5" s="325" t="s">
        <v>150</v>
      </c>
    </row>
    <row r="6" spans="1:20" ht="15" customHeight="1" x14ac:dyDescent="0.2">
      <c r="A6" s="332"/>
      <c r="B6" s="326"/>
      <c r="C6" s="326"/>
      <c r="D6" s="56" t="s">
        <v>23</v>
      </c>
      <c r="E6" s="56" t="s">
        <v>5</v>
      </c>
      <c r="F6" s="56" t="s">
        <v>23</v>
      </c>
      <c r="G6" s="56" t="s">
        <v>5</v>
      </c>
      <c r="H6" s="56" t="s">
        <v>23</v>
      </c>
      <c r="I6" s="56" t="s">
        <v>5</v>
      </c>
      <c r="J6" s="56" t="s">
        <v>23</v>
      </c>
      <c r="K6" s="56" t="s">
        <v>5</v>
      </c>
      <c r="L6" s="56" t="s">
        <v>23</v>
      </c>
      <c r="M6" s="56" t="s">
        <v>5</v>
      </c>
      <c r="N6" s="326"/>
      <c r="O6" s="326"/>
      <c r="P6" s="326"/>
      <c r="Q6" s="326"/>
      <c r="R6" s="326"/>
      <c r="S6" s="326"/>
      <c r="T6" s="326"/>
    </row>
    <row r="7" spans="1:20" ht="39" customHeight="1" x14ac:dyDescent="0.2">
      <c r="A7" s="116" t="str">
        <f>'Ф2-Г1'!M3</f>
        <v>МБОУ СОШ № 83</v>
      </c>
      <c r="B7" s="57">
        <v>3</v>
      </c>
      <c r="C7" s="57">
        <f>'Ф1-ОУ'!C6</f>
        <v>61</v>
      </c>
      <c r="D7" s="57">
        <f>'Ф1-ОУ'!C9</f>
        <v>51</v>
      </c>
      <c r="E7" s="58">
        <f>D7/C7*100</f>
        <v>83.606557377049185</v>
      </c>
      <c r="F7" s="57">
        <f>'Ф1-Г1'!C11+'Ф1-Г2'!C11+'Ф1-Г3'!C11</f>
        <v>48</v>
      </c>
      <c r="G7" s="58">
        <f>F7/D7*100</f>
        <v>94.117647058823522</v>
      </c>
      <c r="H7" s="57">
        <f>'Ф1-Г1'!C12+'Ф1-Г2'!C12+'Ф1-Г3'!C12</f>
        <v>12</v>
      </c>
      <c r="I7" s="58">
        <f>H7/D7*100</f>
        <v>23.52941176470588</v>
      </c>
      <c r="J7" s="57">
        <f>'Ф1-Г1'!C12+'Ф1-Г2'!C12+'Ф1-Г3'!C12</f>
        <v>12</v>
      </c>
      <c r="K7" s="58">
        <f>J7/D7*100</f>
        <v>23.52941176470588</v>
      </c>
      <c r="L7" s="57">
        <f>'Ф1-Г1'!C13+'Ф1-Г2'!C13+'Ф1-Г3'!C13</f>
        <v>10</v>
      </c>
      <c r="M7" s="58">
        <f>L7/D7*100</f>
        <v>19.607843137254903</v>
      </c>
      <c r="N7" s="118">
        <f>(O7+R7)/(10*D7)</f>
        <v>0.55686274509803924</v>
      </c>
      <c r="O7" s="57">
        <f>SUM('Ф2-Г1'!N12:N46)+SUM('Ф2-Г2'!N12:N46)+SUM('Ф2-Г3'!N12:N46)</f>
        <v>142</v>
      </c>
      <c r="P7" s="59">
        <f>O7/D7</f>
        <v>2.784313725490196</v>
      </c>
      <c r="Q7" s="60">
        <f>O7/(D7*5)</f>
        <v>0.55686274509803924</v>
      </c>
      <c r="R7" s="57">
        <f>'Ф2-Г1'!T47+'Ф2-Г2'!T47+'Ф2-Г3'!T47</f>
        <v>142</v>
      </c>
      <c r="S7" s="59">
        <f>R7/D7</f>
        <v>2.784313725490196</v>
      </c>
      <c r="T7" s="60">
        <f>R7/(5*D7)</f>
        <v>0.55686274509803924</v>
      </c>
    </row>
  </sheetData>
  <mergeCells count="20">
    <mergeCell ref="A1:Q1"/>
    <mergeCell ref="A2:Q2"/>
    <mergeCell ref="A4:A6"/>
    <mergeCell ref="B4:B6"/>
    <mergeCell ref="C4:C6"/>
    <mergeCell ref="L5:M5"/>
    <mergeCell ref="O5:O6"/>
    <mergeCell ref="P5:P6"/>
    <mergeCell ref="Q5:Q6"/>
    <mergeCell ref="D4:E5"/>
    <mergeCell ref="F4:G5"/>
    <mergeCell ref="H5:I5"/>
    <mergeCell ref="J5:K5"/>
    <mergeCell ref="R4:T4"/>
    <mergeCell ref="R5:R6"/>
    <mergeCell ref="S5:S6"/>
    <mergeCell ref="T5:T6"/>
    <mergeCell ref="N5:N6"/>
    <mergeCell ref="O4:Q4"/>
    <mergeCell ref="H4:N4"/>
  </mergeCells>
  <pageMargins left="0.25" right="0.187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5"/>
  <sheetViews>
    <sheetView zoomScaleNormal="100" workbookViewId="0">
      <selection activeCell="C6" sqref="C6:D6"/>
    </sheetView>
  </sheetViews>
  <sheetFormatPr defaultRowHeight="12.75" x14ac:dyDescent="0.2"/>
  <cols>
    <col min="1" max="1" width="2.42578125" customWidth="1"/>
    <col min="2" max="2" width="43.28515625" customWidth="1"/>
    <col min="3" max="3" width="14" customWidth="1"/>
    <col min="4" max="4" width="15.140625" customWidth="1"/>
    <col min="5" max="5" width="9.140625" customWidth="1"/>
    <col min="6" max="6" width="32" customWidth="1"/>
    <col min="7" max="7" width="15.85546875" customWidth="1"/>
    <col min="8" max="8" width="15.140625" customWidth="1"/>
    <col min="9" max="10" width="4" customWidth="1"/>
    <col min="11" max="14" width="9.140625" customWidth="1"/>
  </cols>
  <sheetData>
    <row r="1" spans="2:7" ht="18" customHeight="1" x14ac:dyDescent="0.25">
      <c r="B1" s="208" t="s">
        <v>158</v>
      </c>
      <c r="C1" s="208"/>
      <c r="D1" s="208"/>
      <c r="E1" s="208"/>
      <c r="F1" s="208"/>
      <c r="G1" s="17"/>
    </row>
    <row r="2" spans="2:7" ht="12" customHeight="1" x14ac:dyDescent="0.2"/>
    <row r="3" spans="2:7" x14ac:dyDescent="0.2">
      <c r="B3" s="1" t="s">
        <v>47</v>
      </c>
      <c r="C3" s="209" t="str">
        <f>'Ф2-Г1'!M2</f>
        <v>г.Хабаровск</v>
      </c>
      <c r="D3" s="209"/>
    </row>
    <row r="4" spans="2:7" x14ac:dyDescent="0.2">
      <c r="B4" s="1" t="s">
        <v>16</v>
      </c>
      <c r="C4" s="209" t="str">
        <f>'Ф2-Г1'!M3</f>
        <v>МБОУ СОШ № 83</v>
      </c>
      <c r="D4" s="209"/>
    </row>
    <row r="5" spans="2:7" x14ac:dyDescent="0.2">
      <c r="B5" s="1" t="s">
        <v>159</v>
      </c>
      <c r="C5" s="209">
        <v>3</v>
      </c>
      <c r="D5" s="209"/>
    </row>
    <row r="6" spans="2:7" x14ac:dyDescent="0.2">
      <c r="B6" s="1" t="s">
        <v>17</v>
      </c>
      <c r="C6" s="210">
        <f>'Ф2-Г1'!M7+'Ф2-Г2'!M7+'Ф2-Г3'!M7</f>
        <v>61</v>
      </c>
      <c r="D6" s="210"/>
    </row>
    <row r="7" spans="2:7" ht="15.75" x14ac:dyDescent="0.2">
      <c r="B7" s="211" t="s">
        <v>18</v>
      </c>
      <c r="C7" s="211"/>
      <c r="D7" s="211"/>
    </row>
    <row r="8" spans="2:7" ht="38.25" x14ac:dyDescent="0.2">
      <c r="B8" s="12" t="s">
        <v>19</v>
      </c>
      <c r="C8" s="13" t="s">
        <v>20</v>
      </c>
      <c r="D8" s="13" t="s">
        <v>21</v>
      </c>
    </row>
    <row r="9" spans="2:7" x14ac:dyDescent="0.2">
      <c r="B9" s="44" t="s">
        <v>43</v>
      </c>
      <c r="C9" s="2">
        <f>'Ф2-Г1'!I50+'Ф2-Г2'!I50+'Ф2-Г3'!I50</f>
        <v>51</v>
      </c>
      <c r="D9" s="11">
        <f>C9/C6</f>
        <v>0.83606557377049184</v>
      </c>
    </row>
    <row r="10" spans="2:7" ht="15.75" x14ac:dyDescent="0.2">
      <c r="B10" s="203" t="s">
        <v>92</v>
      </c>
      <c r="C10" s="204"/>
      <c r="D10" s="205"/>
    </row>
    <row r="11" spans="2:7" x14ac:dyDescent="0.2">
      <c r="B11" s="24" t="s">
        <v>25</v>
      </c>
      <c r="C11" s="2">
        <f>'Ф2-Г1'!U47+'Ф2-Г2'!U47+'Ф2-Г3'!U47</f>
        <v>48</v>
      </c>
      <c r="D11" s="11">
        <f>C11/$C$9</f>
        <v>0.94117647058823528</v>
      </c>
    </row>
    <row r="12" spans="2:7" x14ac:dyDescent="0.2">
      <c r="B12" s="25" t="s">
        <v>148</v>
      </c>
      <c r="C12" s="2">
        <f>'Ф2-Г1'!U48+'Ф2-Г2'!U48+'Ф2-Г3'!U48</f>
        <v>12</v>
      </c>
      <c r="D12" s="11">
        <f>C12/$C$9</f>
        <v>0.23529411764705882</v>
      </c>
    </row>
    <row r="13" spans="2:7" x14ac:dyDescent="0.2">
      <c r="B13" s="26" t="s">
        <v>140</v>
      </c>
      <c r="C13" s="2">
        <f>'Ф2-Г1'!V48+'Ф2-Г1'!V48+'Ф2-Г3'!V48</f>
        <v>15</v>
      </c>
      <c r="D13" s="11">
        <f>C13/$C$9</f>
        <v>0.29411764705882354</v>
      </c>
    </row>
    <row r="14" spans="2:7" x14ac:dyDescent="0.2">
      <c r="B14" s="26" t="s">
        <v>141</v>
      </c>
      <c r="C14" s="2">
        <f>'Ф2-Г1'!V47+'Ф2-Г2'!V47+'Ф2-Г3'!V47</f>
        <v>50</v>
      </c>
      <c r="D14" s="11">
        <f>C14/$C$9</f>
        <v>0.98039215686274506</v>
      </c>
    </row>
    <row r="15" spans="2:7" ht="24" x14ac:dyDescent="0.2">
      <c r="B15" s="114" t="s">
        <v>142</v>
      </c>
      <c r="C15" s="2">
        <f>'Ф2-Г1'!V49+'Ф2-Г2'!V49+'Ф2-Г3'!V49</f>
        <v>2</v>
      </c>
      <c r="D15" s="11">
        <f>C15/$C$9</f>
        <v>3.9215686274509803E-2</v>
      </c>
    </row>
    <row r="16" spans="2:7" x14ac:dyDescent="0.2">
      <c r="B16" s="27" t="s">
        <v>22</v>
      </c>
      <c r="C16" s="206">
        <f>('Ф2-Г1'!N47+'Ф2-Г2'!N47+'Ф2-Г3'!N47)/C9</f>
        <v>2.784313725490196</v>
      </c>
      <c r="D16" s="206"/>
    </row>
    <row r="17" spans="2:8" x14ac:dyDescent="0.2">
      <c r="B17" s="28" t="s">
        <v>49</v>
      </c>
      <c r="C17" s="207">
        <f>('Ф2-Г1'!N47+'Ф2-Г2'!N47+'Ф2-Г3'!N47)/(5*C9)</f>
        <v>0.55686274509803924</v>
      </c>
      <c r="D17" s="207"/>
    </row>
    <row r="18" spans="2:8" x14ac:dyDescent="0.2">
      <c r="F18" s="10"/>
      <c r="G18" s="10"/>
      <c r="H18" s="10"/>
    </row>
    <row r="19" spans="2:8" x14ac:dyDescent="0.2">
      <c r="F19" s="10"/>
      <c r="G19" s="10"/>
      <c r="H19" s="10"/>
    </row>
    <row r="20" spans="2:8" ht="14.25" customHeight="1" x14ac:dyDescent="0.2">
      <c r="F20" s="10" t="s">
        <v>144</v>
      </c>
      <c r="G20" s="115">
        <f>D11</f>
        <v>0.94117647058823528</v>
      </c>
      <c r="H20" s="10"/>
    </row>
    <row r="21" spans="2:8" x14ac:dyDescent="0.2">
      <c r="F21" s="10" t="s">
        <v>143</v>
      </c>
      <c r="G21" s="115">
        <f>D12</f>
        <v>0.23529411764705882</v>
      </c>
      <c r="H21" s="10"/>
    </row>
    <row r="22" spans="2:8" x14ac:dyDescent="0.2">
      <c r="F22" s="10" t="s">
        <v>145</v>
      </c>
      <c r="G22" s="115">
        <f>D15</f>
        <v>3.9215686274509803E-2</v>
      </c>
      <c r="H22" s="10"/>
    </row>
    <row r="23" spans="2:8" x14ac:dyDescent="0.2">
      <c r="F23" s="10" t="s">
        <v>146</v>
      </c>
      <c r="G23" s="115">
        <f>D13</f>
        <v>0.29411764705882354</v>
      </c>
      <c r="H23" s="10"/>
    </row>
    <row r="24" spans="2:8" x14ac:dyDescent="0.2">
      <c r="F24" s="10"/>
      <c r="G24" s="10"/>
      <c r="H24" s="10"/>
    </row>
    <row r="25" spans="2:8" x14ac:dyDescent="0.2">
      <c r="F25" s="10"/>
      <c r="G25" s="10"/>
      <c r="H25" s="10"/>
    </row>
  </sheetData>
  <mergeCells count="9">
    <mergeCell ref="B10:D10"/>
    <mergeCell ref="C16:D16"/>
    <mergeCell ref="C17:D17"/>
    <mergeCell ref="B1:F1"/>
    <mergeCell ref="C3:D3"/>
    <mergeCell ref="C4:D4"/>
    <mergeCell ref="C5:D5"/>
    <mergeCell ref="C6:D6"/>
    <mergeCell ref="B7:D7"/>
  </mergeCells>
  <pageMargins left="0.25" right="0.25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8"/>
  <sheetViews>
    <sheetView tabSelected="1" zoomScaleNormal="100" workbookViewId="0">
      <selection activeCell="L4" sqref="L4"/>
    </sheetView>
  </sheetViews>
  <sheetFormatPr defaultRowHeight="12.75" x14ac:dyDescent="0.2"/>
  <cols>
    <col min="1" max="1" width="5.42578125" customWidth="1"/>
    <col min="2" max="2" width="85.5703125" customWidth="1"/>
    <col min="3" max="3" width="7.5703125" customWidth="1"/>
    <col min="5" max="5" width="14.140625" customWidth="1"/>
    <col min="6" max="6" width="16.85546875" customWidth="1"/>
    <col min="7" max="7" width="7.140625" customWidth="1"/>
    <col min="8" max="8" width="2.42578125" customWidth="1"/>
    <col min="9" max="10" width="1.28515625" customWidth="1"/>
  </cols>
  <sheetData>
    <row r="1" spans="1:13" ht="18.75" customHeight="1" x14ac:dyDescent="0.3">
      <c r="A1" s="218" t="s">
        <v>24</v>
      </c>
      <c r="B1" s="218"/>
      <c r="C1" s="218"/>
      <c r="D1" s="218"/>
      <c r="E1" s="218"/>
      <c r="F1" s="218"/>
      <c r="G1" s="218"/>
    </row>
    <row r="2" spans="1:13" ht="13.5" thickBot="1" x14ac:dyDescent="0.25">
      <c r="A2" s="219" t="s">
        <v>123</v>
      </c>
      <c r="B2" s="220"/>
      <c r="C2" s="220"/>
      <c r="D2" s="220"/>
      <c r="E2" s="220"/>
      <c r="F2" s="220"/>
      <c r="G2" s="221"/>
    </row>
    <row r="3" spans="1:13" ht="15" customHeight="1" x14ac:dyDescent="0.2">
      <c r="A3" s="222" t="s">
        <v>3</v>
      </c>
      <c r="B3" s="122" t="s">
        <v>88</v>
      </c>
      <c r="C3" s="224" t="s">
        <v>8</v>
      </c>
      <c r="D3" s="224"/>
      <c r="E3" s="224"/>
      <c r="F3" s="224" t="s">
        <v>9</v>
      </c>
      <c r="G3" s="226" t="s">
        <v>10</v>
      </c>
    </row>
    <row r="4" spans="1:13" ht="29.25" customHeight="1" x14ac:dyDescent="0.2">
      <c r="A4" s="223"/>
      <c r="B4" s="123" t="s">
        <v>89</v>
      </c>
      <c r="C4" s="123" t="s">
        <v>11</v>
      </c>
      <c r="D4" s="123" t="s">
        <v>12</v>
      </c>
      <c r="E4" s="123" t="s">
        <v>13</v>
      </c>
      <c r="F4" s="225"/>
      <c r="G4" s="227"/>
    </row>
    <row r="5" spans="1:13" ht="27.75" customHeight="1" x14ac:dyDescent="0.2">
      <c r="A5" s="3">
        <v>1</v>
      </c>
      <c r="B5" s="4" t="s">
        <v>112</v>
      </c>
      <c r="C5" s="212" t="s">
        <v>125</v>
      </c>
      <c r="D5" s="213"/>
      <c r="E5" s="213"/>
      <c r="F5" s="213"/>
      <c r="G5" s="214"/>
      <c r="I5" s="10"/>
      <c r="J5" s="10"/>
      <c r="K5" s="10"/>
    </row>
    <row r="6" spans="1:13" ht="23.25" customHeight="1" x14ac:dyDescent="0.2">
      <c r="A6" s="3">
        <v>2</v>
      </c>
      <c r="B6" s="4" t="s">
        <v>113</v>
      </c>
      <c r="C6" s="8">
        <f>('Ф2-Г1'!$I47+'Ф2-Г2'!$I47+'Ф2-Г3'!I47)/('Ф2-Г1'!$I50+'Ф2-Г2'!$I50+'Ф2-Г3'!$I50)</f>
        <v>0.72549019607843135</v>
      </c>
      <c r="D6" s="8">
        <f>('Ф2-Г1'!$I48+'Ф2-Г2'!$I48+'Ф2-Г3'!$I48)/('Ф2-Г1'!$I50+'Ф2-Г2'!$I50+'Ф2-Г3'!$I50)</f>
        <v>0.27450980392156865</v>
      </c>
      <c r="E6" s="8">
        <f>('Ф2-Г1'!I49+'Ф2-Г1'!I49+'Ф2-Г3'!$I49)/('Ф2-Г1'!$I50+'Ф2-Г2'!$I50+'Ф2-Г3'!$I50)</f>
        <v>0</v>
      </c>
      <c r="F6" s="5" t="s">
        <v>14</v>
      </c>
      <c r="G6" s="6">
        <v>1</v>
      </c>
      <c r="H6" s="10">
        <v>2</v>
      </c>
      <c r="I6" s="135">
        <f>C6</f>
        <v>0.72549019607843135</v>
      </c>
      <c r="J6" s="137">
        <f>'Отчет МОУО'!$N$7</f>
        <v>0.55686274509803924</v>
      </c>
      <c r="K6" s="155"/>
      <c r="L6" s="155"/>
      <c r="M6" s="155"/>
    </row>
    <row r="7" spans="1:13" ht="24.75" customHeight="1" x14ac:dyDescent="0.2">
      <c r="A7" s="3">
        <v>3</v>
      </c>
      <c r="B7" s="4" t="s">
        <v>114</v>
      </c>
      <c r="C7" s="8">
        <f>('Ф2-Г1'!$J47+'Ф2-Г2'!$J47+'Ф2-Г3'!$J47)/('Ф2-Г1'!$I50+'Ф2-Г2'!$I50+'Ф2-Г3'!$I50)</f>
        <v>0.6470588235294118</v>
      </c>
      <c r="D7" s="8">
        <f>('Ф2-Г1'!$J48+'Ф2-Г2'!$J48+'Ф2-Г3'!$J48)/('Ф2-Г1'!$I50+'Ф2-Г2'!$I50+'Ф2-Г3'!$I50)</f>
        <v>0.37254901960784315</v>
      </c>
      <c r="E7" s="8">
        <f>('Ф2-Г1'!$J49+'Ф2-Г2'!$J49+'Ф2-Г3'!$J49)/('Ф2-Г1'!$I50+'Ф2-Г2'!$I50+'Ф2-Г3'!$I50)</f>
        <v>0</v>
      </c>
      <c r="F7" s="5" t="s">
        <v>14</v>
      </c>
      <c r="G7" s="6">
        <v>1</v>
      </c>
      <c r="H7" s="10">
        <v>3</v>
      </c>
      <c r="I7" s="135">
        <f>C7</f>
        <v>0.6470588235294118</v>
      </c>
      <c r="J7" s="137">
        <f>'Отчет МОУО'!$N$7</f>
        <v>0.55686274509803924</v>
      </c>
      <c r="K7" s="155"/>
      <c r="L7" s="155"/>
      <c r="M7" s="155"/>
    </row>
    <row r="8" spans="1:13" ht="27.75" customHeight="1" x14ac:dyDescent="0.2">
      <c r="A8" s="3">
        <v>4</v>
      </c>
      <c r="B8" s="4" t="s">
        <v>115</v>
      </c>
      <c r="C8" s="8">
        <f>('Ф2-Г1'!$K47+'Ф2-Г2'!$K47+'Ф2-Г3'!$K47)/('Ф2-Г1'!$I50+'Ф2-Г2'!$I50+'Ф2-Г3'!$I50)</f>
        <v>0.70588235294117652</v>
      </c>
      <c r="D8" s="8">
        <f>('Ф2-Г1'!$K48+'Ф2-Г2'!$K48+'Ф2-Г3'!$K48)/('Ф2-Г1'!$I50+'Ф2-Г2'!$I50+'Ф2-Г3'!$I50)</f>
        <v>0.29411764705882354</v>
      </c>
      <c r="E8" s="8">
        <f>('Ф2-Г1'!$K49+'Ф2-Г2'!$K49+'Ф2-Г3'!$K49)/('Ф2-Г1'!$I50+'Ф2-Г2'!$I50+'Ф2-Г3'!$I50)</f>
        <v>0</v>
      </c>
      <c r="F8" s="5" t="s">
        <v>14</v>
      </c>
      <c r="G8" s="6">
        <v>1</v>
      </c>
      <c r="H8" s="10">
        <v>4</v>
      </c>
      <c r="I8" s="135">
        <f>C8</f>
        <v>0.70588235294117652</v>
      </c>
      <c r="J8" s="137">
        <f>'Отчет МОУО'!$N$7</f>
        <v>0.55686274509803924</v>
      </c>
      <c r="K8" s="155"/>
      <c r="L8" s="155"/>
      <c r="M8" s="155"/>
    </row>
    <row r="9" spans="1:13" ht="40.5" customHeight="1" x14ac:dyDescent="0.2">
      <c r="A9" s="3">
        <v>5</v>
      </c>
      <c r="B9" s="4" t="s">
        <v>116</v>
      </c>
      <c r="C9" s="8">
        <f>('Ф2-Г1'!$L47+'Ф2-Г2'!$L47+'Ф2-Г3'!L47)/('Ф2-Г1'!$I50+'Ф2-Г2'!$I50+'Ф2-Г3'!$I50)</f>
        <v>0.27450980392156865</v>
      </c>
      <c r="D9" s="8">
        <f>('Ф2-Г1'!$L48+'Ф2-Г2'!$L48+'Ф2-Г3'!$L48)/('Ф2-Г1'!$I50+'Ф2-Г2'!$I50+'Ф2-Г3'!$I50)</f>
        <v>0.70588235294117652</v>
      </c>
      <c r="E9" s="8">
        <f>('Ф2-Г1'!$L49+'Ф2-Г2'!$L49+'Ф2-Г3'!$L49)/('Ф2-Г1'!$I50+'Ф2-Г2'!$I50+'Ф2-Г3'!$I50)</f>
        <v>0</v>
      </c>
      <c r="F9" s="5" t="s">
        <v>14</v>
      </c>
      <c r="G9" s="6">
        <v>1</v>
      </c>
      <c r="H9" s="10">
        <v>5</v>
      </c>
      <c r="I9" s="135">
        <f>C9</f>
        <v>0.27450980392156865</v>
      </c>
      <c r="J9" s="137">
        <f>'Отчет МОУО'!$N$7</f>
        <v>0.55686274509803924</v>
      </c>
      <c r="K9" s="155"/>
      <c r="L9" s="155"/>
      <c r="M9" s="155"/>
    </row>
    <row r="10" spans="1:13" ht="33" customHeight="1" x14ac:dyDescent="0.2">
      <c r="A10" s="3">
        <v>6</v>
      </c>
      <c r="B10" s="4" t="s">
        <v>117</v>
      </c>
      <c r="C10" s="8">
        <f>('Ф2-Г1'!$M47+'Ф2-Г2'!$M47+'Ф2-Г3'!$M47)/('Ф2-Г1'!$I50+'Ф2-Г2'!$I50+'Ф2-Г3'!$I50)</f>
        <v>0.49019607843137253</v>
      </c>
      <c r="D10" s="8">
        <f>('Ф2-Г1'!$M48+'Ф2-Г2'!$M48+'Ф2-Г3'!$M48)/('Ф2-Г1'!$I50+'Ф2-Г2'!$I50+'Ф2-Г3'!$I50)</f>
        <v>0.49019607843137253</v>
      </c>
      <c r="E10" s="8">
        <f>('Ф2-Г1'!$M49+'Ф2-Г2'!$M49+'Ф2-Г3'!$M49)/('Ф2-Г1'!$I50+'Ф2-Г2'!$I50+'Ф2-Г3'!$I50)</f>
        <v>0</v>
      </c>
      <c r="F10" s="5" t="s">
        <v>14</v>
      </c>
      <c r="G10" s="6">
        <v>1</v>
      </c>
      <c r="H10" s="10">
        <v>6</v>
      </c>
      <c r="I10" s="135">
        <f>C10</f>
        <v>0.49019607843137253</v>
      </c>
      <c r="J10" s="137">
        <f>'Отчет МОУО'!$N$7</f>
        <v>0.55686274509803924</v>
      </c>
      <c r="K10" s="155"/>
      <c r="L10" s="155"/>
      <c r="M10" s="155"/>
    </row>
    <row r="11" spans="1:13" ht="14.25" customHeight="1" x14ac:dyDescent="0.2">
      <c r="A11" s="215" t="s">
        <v>91</v>
      </c>
      <c r="B11" s="216"/>
      <c r="C11" s="216"/>
      <c r="D11" s="216"/>
      <c r="E11" s="216"/>
      <c r="F11" s="216"/>
      <c r="G11" s="217"/>
      <c r="H11" s="10">
        <v>7</v>
      </c>
      <c r="I11" s="136">
        <f>C12</f>
        <v>5.8823529411764705E-2</v>
      </c>
      <c r="J11" s="137">
        <f>'Отчет МОУО'!$N$7</f>
        <v>0.55686274509803924</v>
      </c>
      <c r="K11" s="155"/>
      <c r="L11" s="155"/>
      <c r="M11" s="155"/>
    </row>
    <row r="12" spans="1:13" ht="24" customHeight="1" x14ac:dyDescent="0.2">
      <c r="A12" s="3">
        <v>7</v>
      </c>
      <c r="B12" s="4" t="s">
        <v>118</v>
      </c>
      <c r="C12" s="42">
        <f>('Ф2-Г1'!$O47+'Ф2-Г2'!$O47+'Ф2-Г3'!$O47)/('Ф2-Г1'!$I50+'Ф2-Г2'!$I50+'Ф2-Г3'!$I50)</f>
        <v>5.8823529411764705E-2</v>
      </c>
      <c r="D12" s="42">
        <f>('Ф2-Г1'!$O48+'Ф2-Г2'!$O48+'Ф2-Г3'!$O48)/('Ф2-Г1'!$I50+'Ф2-Г2'!$I50+'Ф2-Г3'!$I50)</f>
        <v>0.84313725490196079</v>
      </c>
      <c r="E12" s="42">
        <f>('Ф2-Г1'!$O49+'Ф2-Г2'!$O49+'Ф2-Г3'!$O49)/('Ф2-Г1'!$I50+'Ф2-Г2'!$I50+'Ф2-Г3'!$I50)</f>
        <v>0</v>
      </c>
      <c r="F12" s="39" t="s">
        <v>15</v>
      </c>
      <c r="G12" s="41">
        <v>1</v>
      </c>
      <c r="H12" s="10">
        <v>8</v>
      </c>
      <c r="I12" s="136">
        <f>C13</f>
        <v>1.0196078431372548</v>
      </c>
      <c r="J12" s="137">
        <f>'Отчет МОУО'!$N$7</f>
        <v>0.55686274509803924</v>
      </c>
      <c r="K12" s="155"/>
      <c r="L12" s="155"/>
      <c r="M12" s="155"/>
    </row>
    <row r="13" spans="1:13" ht="30" customHeight="1" x14ac:dyDescent="0.2">
      <c r="A13" s="3">
        <v>8</v>
      </c>
      <c r="B13" s="4" t="s">
        <v>119</v>
      </c>
      <c r="C13" s="42">
        <f>('Ф2-Г1'!$P47+'Ф2-Г2'!$P47+'Ф2-Г3'!$P47)/('Ф2-Г1'!$I50+'Ф2-Г2'!$I50+'Ф2-Г3'!$I50)</f>
        <v>1.0196078431372548</v>
      </c>
      <c r="D13" s="42">
        <f>('Ф2-Г1'!$P48+'Ф2-Г2'!$P48+'Ф2-Г3'!$P48)/('Ф2-Г1'!$I50+'Ф2-Г2'!$I50+'Ф2-Г3'!$I50)</f>
        <v>1.9607843137254902E-2</v>
      </c>
      <c r="E13" s="42">
        <f>('Ф2-Г1'!$P49+'Ф2-Г2'!$P49+'Ф2-Г3'!$P49)/('Ф2-Г1'!$I50+'Ф2-Г2'!$I50+'Ф2-Г3'!$I50)</f>
        <v>0</v>
      </c>
      <c r="F13" s="39" t="s">
        <v>15</v>
      </c>
      <c r="G13" s="41">
        <v>1</v>
      </c>
      <c r="H13" s="10">
        <v>9</v>
      </c>
      <c r="I13" s="136">
        <f>C14</f>
        <v>0.62745098039215685</v>
      </c>
      <c r="J13" s="137">
        <f>'Отчет МОУО'!$N$7</f>
        <v>0.55686274509803924</v>
      </c>
      <c r="K13" s="155"/>
      <c r="L13" s="155"/>
      <c r="M13" s="155"/>
    </row>
    <row r="14" spans="1:13" ht="17.25" customHeight="1" x14ac:dyDescent="0.2">
      <c r="A14" s="3">
        <v>9</v>
      </c>
      <c r="B14" s="64" t="s">
        <v>120</v>
      </c>
      <c r="C14" s="43">
        <f>('Ф2-Г1'!$Q47+'Ф2-Г2'!$Q47+'Ф2-Г3'!$Q47)/('Ф2-Г1'!$I50+'Ф2-Г2'!$I50+'Ф2-Г3'!$I50)</f>
        <v>0.62745098039215685</v>
      </c>
      <c r="D14" s="43">
        <f>('Ф2-Г1'!$Q48+'Ф2-Г2'!$Q48+'Ф2-Г3'!$Q48)/('Ф2-Г1'!$I50+'Ф2-Г2'!$I50+'Ф2-Г3'!$I50)</f>
        <v>0.33333333333333331</v>
      </c>
      <c r="E14" s="43">
        <f>('Ф2-Г1'!$Q49+'Ф2-Г2'!$Q49+'Ф2-Г3'!$Q49)/('Ф2-Г1'!$I50+'Ф2-Г2'!$I50+'Ф2-Г3'!$I50)</f>
        <v>0</v>
      </c>
      <c r="F14" s="39" t="s">
        <v>15</v>
      </c>
      <c r="G14" s="41">
        <v>1</v>
      </c>
      <c r="H14" s="10">
        <v>10</v>
      </c>
      <c r="I14" s="136">
        <f>C15</f>
        <v>0.62745098039215685</v>
      </c>
      <c r="J14" s="137">
        <f>'Отчет МОУО'!$N$7</f>
        <v>0.55686274509803924</v>
      </c>
      <c r="K14" s="155"/>
      <c r="L14" s="155"/>
      <c r="M14" s="155"/>
    </row>
    <row r="15" spans="1:13" ht="18.75" customHeight="1" x14ac:dyDescent="0.2">
      <c r="A15" s="3">
        <v>10</v>
      </c>
      <c r="B15" s="64" t="s">
        <v>121</v>
      </c>
      <c r="C15" s="43">
        <f>('Ф2-Г1'!$R47+'Ф2-Г2'!$R47+'Ф2-Г3'!$R47)/('Ф2-Г1'!$I50+'Ф2-Г2'!$I50+'Ф2-Г3'!$I50)</f>
        <v>0.62745098039215685</v>
      </c>
      <c r="D15" s="43">
        <f>('Ф2-Г1'!$R48+'Ф2-Г2'!$R48+'Ф2-Г3'!$R48)/('Ф2-Г1'!$I50+'Ф2-Г2'!$I50+'Ф2-Г3'!$I50)</f>
        <v>0.37254901960784315</v>
      </c>
      <c r="E15" s="43">
        <f>('Ф2-Г1'!$R49+'Ф2-Г2'!$R49+'Ф2-Г3'!$R49)/('Ф2-Г1'!$I50+'Ф2-Г2'!$I50+'Ф2-Г3'!$I50)</f>
        <v>0</v>
      </c>
      <c r="F15" s="39" t="s">
        <v>15</v>
      </c>
      <c r="G15" s="41">
        <v>1</v>
      </c>
      <c r="H15" s="10">
        <v>11</v>
      </c>
      <c r="I15" s="136">
        <f>C16</f>
        <v>0.52941176470588236</v>
      </c>
      <c r="J15" s="137">
        <f>'Отчет МОУО'!$N$7</f>
        <v>0.55686274509803924</v>
      </c>
      <c r="K15" s="155"/>
      <c r="L15" s="155"/>
      <c r="M15" s="155"/>
    </row>
    <row r="16" spans="1:13" ht="18" customHeight="1" x14ac:dyDescent="0.2">
      <c r="A16" s="3">
        <v>11</v>
      </c>
      <c r="B16" s="64" t="s">
        <v>122</v>
      </c>
      <c r="C16" s="43">
        <f>('Ф2-Г1'!$S47+'Ф2-Г2'!$S47+'Ф2-Г3'!$S47)/('Ф2-Г1'!$I50+'Ф2-Г2'!$I50+'Ф2-Г3'!$I50)</f>
        <v>0.52941176470588236</v>
      </c>
      <c r="D16" s="43">
        <f>('Ф2-Г1'!$S48+'Ф2-Г2'!$S48+'Ф2-Г3'!$S48)/('Ф2-Г1'!$I50+'Ф2-Г2'!$I50+'Ф2-Г3'!$I50)</f>
        <v>0.33333333333333331</v>
      </c>
      <c r="E16" s="43">
        <f>('Ф2-Г1'!$S49+'Ф2-Г2'!$S49+'Ф2-Г3'!$S49)/('Ф2-Г1'!$I50+'Ф2-Г2'!$I50+'Ф2-Г3'!$I50)</f>
        <v>0</v>
      </c>
      <c r="F16" s="39" t="s">
        <v>15</v>
      </c>
      <c r="G16" s="41">
        <v>1</v>
      </c>
      <c r="H16" s="10"/>
      <c r="I16" s="136"/>
      <c r="J16" s="10"/>
      <c r="K16" s="155"/>
      <c r="L16" s="155"/>
      <c r="M16" s="155"/>
    </row>
    <row r="17" spans="8:11" x14ac:dyDescent="0.2">
      <c r="H17" s="10"/>
      <c r="I17" s="10"/>
      <c r="J17" s="10"/>
      <c r="K17" s="10"/>
    </row>
    <row r="18" spans="8:11" x14ac:dyDescent="0.2">
      <c r="H18" s="10"/>
      <c r="I18" s="10"/>
      <c r="J18" s="10"/>
      <c r="K18" s="10"/>
    </row>
  </sheetData>
  <sheetProtection selectLockedCells="1" selectUnlockedCells="1"/>
  <mergeCells count="8">
    <mergeCell ref="C5:G5"/>
    <mergeCell ref="A11:G11"/>
    <mergeCell ref="A1:G1"/>
    <mergeCell ref="A2:G2"/>
    <mergeCell ref="A3:A4"/>
    <mergeCell ref="C3:E3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scale="8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0"/>
  <sheetViews>
    <sheetView zoomScaleNormal="100" zoomScalePageLayoutView="90" workbookViewId="0">
      <selection activeCell="Q21" sqref="Q21"/>
    </sheetView>
  </sheetViews>
  <sheetFormatPr defaultRowHeight="12.75" x14ac:dyDescent="0.2"/>
  <cols>
    <col min="1" max="1" width="25.42578125" customWidth="1"/>
    <col min="2" max="3" width="5.5703125" hidden="1" customWidth="1"/>
    <col min="4" max="4" width="5.5703125" customWidth="1"/>
    <col min="5" max="5" width="6.85546875" customWidth="1"/>
    <col min="6" max="6" width="6.7109375" customWidth="1"/>
    <col min="7" max="7" width="6.5703125" customWidth="1"/>
    <col min="8" max="8" width="5.5703125" customWidth="1"/>
    <col min="9" max="9" width="6.85546875" customWidth="1"/>
    <col min="10" max="10" width="5.5703125" customWidth="1"/>
    <col min="11" max="11" width="6.42578125" customWidth="1"/>
    <col min="12" max="12" width="5.5703125" customWidth="1"/>
    <col min="13" max="13" width="6.5703125" customWidth="1"/>
    <col min="14" max="14" width="7" customWidth="1"/>
    <col min="15" max="19" width="5.5703125" customWidth="1"/>
    <col min="20" max="20" width="20.7109375" customWidth="1"/>
    <col min="21" max="30" width="6.42578125" customWidth="1"/>
  </cols>
  <sheetData>
    <row r="1" spans="1:30" ht="18" customHeight="1" x14ac:dyDescent="0.25">
      <c r="A1" s="208" t="s">
        <v>158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71"/>
      <c r="O1" s="63"/>
      <c r="P1" s="63"/>
      <c r="Q1" s="63"/>
      <c r="R1" s="63"/>
      <c r="S1" s="63"/>
    </row>
    <row r="2" spans="1:30" ht="13.5" thickBot="1" x14ac:dyDescent="0.25"/>
    <row r="3" spans="1:30" x14ac:dyDescent="0.2">
      <c r="A3" s="231"/>
      <c r="B3" s="233" t="s">
        <v>97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65"/>
      <c r="O3" s="65"/>
      <c r="P3" s="65"/>
      <c r="Q3" s="65"/>
      <c r="R3" s="65"/>
      <c r="S3" s="65"/>
      <c r="T3" s="235"/>
      <c r="U3" s="237" t="s">
        <v>98</v>
      </c>
      <c r="V3" s="233"/>
      <c r="W3" s="233"/>
      <c r="X3" s="233"/>
      <c r="Y3" s="233"/>
      <c r="Z3" s="233"/>
      <c r="AA3" s="233"/>
      <c r="AB3" s="233"/>
      <c r="AC3" s="233"/>
      <c r="AD3" s="234"/>
    </row>
    <row r="4" spans="1:30" x14ac:dyDescent="0.2">
      <c r="A4" s="232"/>
      <c r="B4" s="238">
        <v>1</v>
      </c>
      <c r="C4" s="239"/>
      <c r="D4" s="240">
        <v>2</v>
      </c>
      <c r="E4" s="241"/>
      <c r="F4" s="240">
        <v>3</v>
      </c>
      <c r="G4" s="241"/>
      <c r="H4" s="240">
        <v>4</v>
      </c>
      <c r="I4" s="241"/>
      <c r="J4" s="240">
        <v>5</v>
      </c>
      <c r="K4" s="241"/>
      <c r="L4" s="240">
        <v>6</v>
      </c>
      <c r="M4" s="242"/>
      <c r="N4" s="66"/>
      <c r="O4" s="66"/>
      <c r="P4" s="66"/>
      <c r="Q4" s="66"/>
      <c r="R4" s="66"/>
      <c r="S4" s="66"/>
      <c r="T4" s="236"/>
      <c r="U4" s="243">
        <v>7</v>
      </c>
      <c r="V4" s="244"/>
      <c r="W4" s="245">
        <v>8</v>
      </c>
      <c r="X4" s="246"/>
      <c r="Y4" s="228">
        <v>9</v>
      </c>
      <c r="Z4" s="244"/>
      <c r="AA4" s="245">
        <v>10</v>
      </c>
      <c r="AB4" s="246"/>
      <c r="AC4" s="228">
        <v>11</v>
      </c>
      <c r="AD4" s="229"/>
    </row>
    <row r="5" spans="1:30" x14ac:dyDescent="0.2">
      <c r="A5" s="232"/>
      <c r="B5" s="92"/>
      <c r="C5" s="75"/>
      <c r="D5" s="15" t="s">
        <v>23</v>
      </c>
      <c r="E5" s="15" t="s">
        <v>5</v>
      </c>
      <c r="F5" s="15" t="s">
        <v>23</v>
      </c>
      <c r="G5" s="15" t="s">
        <v>5</v>
      </c>
      <c r="H5" s="15" t="s">
        <v>23</v>
      </c>
      <c r="I5" s="15" t="s">
        <v>5</v>
      </c>
      <c r="J5" s="15" t="s">
        <v>23</v>
      </c>
      <c r="K5" s="15" t="s">
        <v>5</v>
      </c>
      <c r="L5" s="15" t="s">
        <v>23</v>
      </c>
      <c r="M5" s="69" t="s">
        <v>5</v>
      </c>
      <c r="N5" s="67"/>
      <c r="O5" s="67"/>
      <c r="P5" s="67"/>
      <c r="Q5" s="67"/>
      <c r="R5" s="67"/>
      <c r="S5" s="67"/>
      <c r="T5" s="236"/>
      <c r="U5" s="72" t="s">
        <v>23</v>
      </c>
      <c r="V5" s="30" t="s">
        <v>5</v>
      </c>
      <c r="W5" s="30" t="s">
        <v>23</v>
      </c>
      <c r="X5" s="30" t="s">
        <v>5</v>
      </c>
      <c r="Y5" s="30" t="s">
        <v>23</v>
      </c>
      <c r="Z5" s="30" t="s">
        <v>5</v>
      </c>
      <c r="AA5" s="30" t="s">
        <v>23</v>
      </c>
      <c r="AB5" s="30" t="s">
        <v>5</v>
      </c>
      <c r="AC5" s="30" t="s">
        <v>23</v>
      </c>
      <c r="AD5" s="31" t="s">
        <v>5</v>
      </c>
    </row>
    <row r="6" spans="1:30" ht="26.25" customHeight="1" x14ac:dyDescent="0.2">
      <c r="A6" s="153" t="s">
        <v>27</v>
      </c>
      <c r="B6" s="172"/>
      <c r="C6" s="77"/>
      <c r="D6" s="144">
        <f>'Ф2-Г1'!I47+'Ф2-Г2'!I47+'Ф2-Г3'!I47</f>
        <v>37</v>
      </c>
      <c r="E6" s="33">
        <f>D6/('Ф2-Г1'!$I$50+'Ф2-Г2'!$I$50+'Ф2-Г3'!$I$50)*100</f>
        <v>72.549019607843135</v>
      </c>
      <c r="F6" s="144">
        <f>'Ф2-Г1'!J47+'Ф2-Г2'!J47+'Ф2-Г3'!J47</f>
        <v>33</v>
      </c>
      <c r="G6" s="33">
        <f>F6/('Ф2-Г1'!$I$50+'Ф2-Г2'!$I$50+'Ф2-Г3'!$I$50)*100</f>
        <v>64.705882352941174</v>
      </c>
      <c r="H6" s="144">
        <f>'Ф2-Г1'!K47+'Ф2-Г2'!K47+'Ф2-Г3'!K47</f>
        <v>36</v>
      </c>
      <c r="I6" s="33">
        <f>H6/('Ф2-Г1'!$I$50+'Ф2-Г2'!$I$50+'Ф2-Г3'!$I$50)*100</f>
        <v>70.588235294117652</v>
      </c>
      <c r="J6" s="144">
        <f>'Ф2-Г1'!L47+'Ф2-Г2'!L47+'Ф2-Г3'!L47</f>
        <v>14</v>
      </c>
      <c r="K6" s="33">
        <f>J6/('Ф2-Г1'!$I$50+'Ф2-Г2'!$I$50+'Ф2-Г3'!$I$50)*100</f>
        <v>27.450980392156865</v>
      </c>
      <c r="L6" s="144">
        <f>'Ф2-Г1'!M47+'Ф2-Г2'!M47+'Ф2-Г3'!M47</f>
        <v>25</v>
      </c>
      <c r="M6" s="70">
        <f>L6/('Ф2-Г1'!$I$50+'Ф2-Г2'!$I$50+'Ф2-Г3'!$I$50)*100</f>
        <v>49.019607843137251</v>
      </c>
      <c r="N6" s="68"/>
      <c r="O6" s="68"/>
      <c r="P6" s="68"/>
      <c r="Q6" s="68"/>
      <c r="R6" s="68"/>
      <c r="S6" s="68"/>
      <c r="T6" s="32" t="s">
        <v>27</v>
      </c>
      <c r="U6" s="73">
        <f>'Ф2-Г1'!O47+'Ф2-Г2'!O47+'Ф2-Г3'!O47</f>
        <v>3</v>
      </c>
      <c r="V6" s="46">
        <f>U6/('Ф2-Г1'!$I$50+'Ф2-Г2'!$I$50+'Ф2-Г3'!$I$50)*100</f>
        <v>5.8823529411764701</v>
      </c>
      <c r="W6" s="143">
        <f>'Ф2-Г1'!P47+'Ф2-Г2'!P47+'Ф2-Г3'!P47</f>
        <v>52</v>
      </c>
      <c r="X6" s="46">
        <f>W6/('Ф2-Г1'!$I$50+'Ф2-Г2'!$I$50+'Ф2-Г3'!$I$50)*100</f>
        <v>101.96078431372548</v>
      </c>
      <c r="Y6" s="143">
        <f>'Ф2-Г1'!Q47+'Ф2-Г2'!Q47+'Ф2-Г3'!Q47</f>
        <v>32</v>
      </c>
      <c r="Z6" s="46">
        <f>Y6/('Ф2-Г1'!$I$50+'Ф2-Г2'!$I$50+'Ф2-Г3'!$I$50)*100</f>
        <v>62.745098039215684</v>
      </c>
      <c r="AA6" s="143">
        <f>'Ф2-Г1'!R47+'Ф2-Г2'!R47+'Ф2-Г3'!R47</f>
        <v>32</v>
      </c>
      <c r="AB6" s="46">
        <f>AA6/('Ф2-Г1'!$I$50+'Ф2-Г2'!$I$50+'Ф2-Г3'!$I$50)*100</f>
        <v>62.745098039215684</v>
      </c>
      <c r="AC6" s="143">
        <f>'Ф2-Г1'!S47+'Ф2-Г2'!S47+'Ф2-Г3'!S47</f>
        <v>27</v>
      </c>
      <c r="AD6" s="48">
        <f>AC6/('Ф2-Г1'!$I$50+'Ф2-Г2'!$I$50+'Ф2-Г3'!$I$50)*100</f>
        <v>52.941176470588239</v>
      </c>
    </row>
    <row r="7" spans="1:30" ht="26.25" customHeight="1" x14ac:dyDescent="0.2">
      <c r="A7" s="153" t="s">
        <v>29</v>
      </c>
      <c r="B7" s="172"/>
      <c r="C7" s="77"/>
      <c r="D7" s="144">
        <f>'Ф2-Г1'!I48+'Ф2-Г2'!I48+'Ф2-Г3'!I48</f>
        <v>14</v>
      </c>
      <c r="E7" s="33">
        <f>D7/('Ф2-Г1'!$I$50+'Ф2-Г2'!$I$50+'Ф2-Г3'!$I$50)*100</f>
        <v>27.450980392156865</v>
      </c>
      <c r="F7" s="144">
        <f>'Ф2-Г1'!J48+'Ф2-Г2'!J48+'Ф2-Г3'!J48</f>
        <v>19</v>
      </c>
      <c r="G7" s="33">
        <f>F7/('Ф2-Г1'!$I$50+'Ф2-Г2'!$I$50+'Ф2-Г3'!$I$50)*100</f>
        <v>37.254901960784316</v>
      </c>
      <c r="H7" s="144">
        <f>'Ф2-Г1'!K48+'Ф2-Г2'!K48+'Ф2-Г3'!K48</f>
        <v>15</v>
      </c>
      <c r="I7" s="33">
        <f>H7/('Ф2-Г1'!$I$50+'Ф2-Г2'!$I$50+'Ф2-Г3'!$I$50)*100</f>
        <v>29.411764705882355</v>
      </c>
      <c r="J7" s="144">
        <f>'Ф2-Г1'!L48+'Ф2-Г2'!L48+'Ф2-Г3'!L48</f>
        <v>36</v>
      </c>
      <c r="K7" s="33">
        <f>J7/('Ф2-Г1'!$I$50+'Ф2-Г2'!$I$50+'Ф2-Г3'!$I$50)*100</f>
        <v>70.588235294117652</v>
      </c>
      <c r="L7" s="144">
        <f>'Ф2-Г1'!M48+'Ф2-Г2'!M48+'Ф2-Г3'!M48</f>
        <v>25</v>
      </c>
      <c r="M7" s="70">
        <f>L7/('Ф2-Г1'!$I$50+'Ф2-Г2'!$I$50+'Ф2-Г3'!$I$50)*100</f>
        <v>49.019607843137251</v>
      </c>
      <c r="N7" s="68"/>
      <c r="O7" s="68"/>
      <c r="P7" s="68"/>
      <c r="Q7" s="68"/>
      <c r="R7" s="68"/>
      <c r="S7" s="68"/>
      <c r="T7" s="32" t="s">
        <v>29</v>
      </c>
      <c r="U7" s="73">
        <f>'Ф2-Г1'!O48+'Ф2-Г2'!O48+'Ф2-Г3'!O48</f>
        <v>43</v>
      </c>
      <c r="V7" s="46">
        <f>U7/('Ф2-Г1'!$I$50+'Ф2-Г2'!$I$50+'Ф2-Г3'!$I$50)*100</f>
        <v>84.313725490196077</v>
      </c>
      <c r="W7" s="143">
        <f>'Ф2-Г1'!P48+'Ф2-Г2'!P48+'Ф2-Г3'!P48</f>
        <v>1</v>
      </c>
      <c r="X7" s="46">
        <f>W7/('Ф2-Г1'!$I$50+'Ф2-Г2'!$I$50+'Ф2-Г3'!$I$50)*100</f>
        <v>1.9607843137254901</v>
      </c>
      <c r="Y7" s="143">
        <f>'Ф2-Г1'!Q48+'Ф2-Г2'!Q48+'Ф2-Г3'!Q48</f>
        <v>17</v>
      </c>
      <c r="Z7" s="46">
        <f>Y7/('Ф2-Г1'!$I$50+'Ф2-Г2'!$I$50+'Ф2-Г3'!$I$50)*100</f>
        <v>33.333333333333329</v>
      </c>
      <c r="AA7" s="143">
        <f>'Ф2-Г1'!R48+'Ф2-Г2'!R48+'Ф2-Г3'!R48</f>
        <v>19</v>
      </c>
      <c r="AB7" s="46">
        <f>AA7/('Ф2-Г1'!$I$50+'Ф2-Г2'!$I$50+'Ф2-Г3'!$I$50)*100</f>
        <v>37.254901960784316</v>
      </c>
      <c r="AC7" s="143">
        <f>'Ф2-Г1'!S48+'Ф2-Г2'!S48+'Ф2-Г3'!S48</f>
        <v>17</v>
      </c>
      <c r="AD7" s="48">
        <f>AC7/('Ф2-Г1'!$I$50+'Ф2-Г2'!$I$50+'Ф2-Г3'!$I$50)*100</f>
        <v>33.333333333333329</v>
      </c>
    </row>
    <row r="8" spans="1:30" ht="26.25" customHeight="1" x14ac:dyDescent="0.2">
      <c r="A8" s="153" t="s">
        <v>28</v>
      </c>
      <c r="B8" s="172"/>
      <c r="C8" s="77"/>
      <c r="D8" s="144">
        <f>'Ф2-Г1'!I49+'Ф2-Г2'!I49+'Ф2-Г3'!I49</f>
        <v>0</v>
      </c>
      <c r="E8" s="33">
        <f>D8/('Ф2-Г1'!$I$50+'Ф2-Г2'!$I$50+'Ф2-Г3'!$I$50)*100</f>
        <v>0</v>
      </c>
      <c r="F8" s="144">
        <f>'Ф2-Г1'!J49+'Ф2-Г2'!J49+'Ф2-Г3'!J49</f>
        <v>0</v>
      </c>
      <c r="G8" s="33">
        <f>F8/('Ф2-Г1'!$I$50+'Ф2-Г2'!$I$50+'Ф2-Г3'!$I$50)*100</f>
        <v>0</v>
      </c>
      <c r="H8" s="144">
        <f>'Ф2-Г1'!K49+'Ф2-Г2'!K49+'Ф2-Г3'!K49</f>
        <v>0</v>
      </c>
      <c r="I8" s="33">
        <f>H8/('Ф2-Г1'!$I$50+'Ф2-Г2'!$I$50+'Ф2-Г3'!$I$50)*100</f>
        <v>0</v>
      </c>
      <c r="J8" s="144">
        <f>'Ф2-Г1'!L49+'Ф2-Г2'!L49+'Ф2-Г3'!L49</f>
        <v>0</v>
      </c>
      <c r="K8" s="33">
        <f>J8/('Ф2-Г1'!$I$50+'Ф2-Г2'!$I$50+'Ф2-Г3'!$I$50)*100</f>
        <v>0</v>
      </c>
      <c r="L8" s="144">
        <f>'Ф2-Г1'!M49+'Ф2-Г2'!M49+'Ф2-Г3'!M49</f>
        <v>0</v>
      </c>
      <c r="M8" s="70">
        <f>L8/('Ф2-Г1'!$I$50+'Ф2-Г2'!$I$50+'Ф2-Г3'!$I$50)*100</f>
        <v>0</v>
      </c>
      <c r="N8" s="68"/>
      <c r="O8" s="68"/>
      <c r="P8" s="68"/>
      <c r="Q8" s="68"/>
      <c r="R8" s="68"/>
      <c r="S8" s="68"/>
      <c r="T8" s="32" t="s">
        <v>28</v>
      </c>
      <c r="U8" s="73">
        <f>'Ф2-Г1'!O49+'Ф2-Г2'!O49+'Ф2-Г3'!O49</f>
        <v>0</v>
      </c>
      <c r="V8" s="46">
        <f>U8/('Ф2-Г1'!$I$50+'Ф2-Г2'!$I$50+'Ф2-Г3'!$I$50)*100</f>
        <v>0</v>
      </c>
      <c r="W8" s="143">
        <f>'Ф2-Г1'!P49+'Ф2-Г2'!P49+'Ф2-Г3'!P49</f>
        <v>0</v>
      </c>
      <c r="X8" s="46">
        <f>W8/('Ф2-Г1'!$I$50+'Ф2-Г2'!$I$50+'Ф2-Г3'!$I$50)*100</f>
        <v>0</v>
      </c>
      <c r="Y8" s="143">
        <f>'Ф2-Г1'!Q49+'Ф2-Г2'!Q49+'Ф2-Г3'!Q49</f>
        <v>0</v>
      </c>
      <c r="Z8" s="46">
        <f>Y8/('Ф2-Г1'!$I$50+'Ф2-Г2'!$I$50+'Ф2-Г3'!$I$50)*100</f>
        <v>0</v>
      </c>
      <c r="AA8" s="143">
        <f>'Ф2-Г1'!R49+'Ф2-Г2'!R49+'Ф2-Г3'!R49</f>
        <v>0</v>
      </c>
      <c r="AB8" s="46">
        <f>AA8/('Ф2-Г1'!$I$50+'Ф2-Г2'!$I$50+'Ф2-Г3'!$I$50)*100</f>
        <v>0</v>
      </c>
      <c r="AC8" s="143">
        <f>'Ф2-Г1'!S49++'Ф2-Г2'!S49+'Ф2-Г3'!S49</f>
        <v>0</v>
      </c>
      <c r="AD8" s="48">
        <f>AC8/('Ф2-Г1'!$I$50+'Ф2-Г2'!$I$50+'Ф2-Г3'!$I$50)*100</f>
        <v>0</v>
      </c>
    </row>
    <row r="9" spans="1:30" ht="26.25" customHeight="1" thickBot="1" x14ac:dyDescent="0.25">
      <c r="A9" s="154" t="s">
        <v>50</v>
      </c>
      <c r="B9" s="173"/>
      <c r="C9" s="79"/>
      <c r="D9" s="37">
        <f>D6/'Ф1-ОУ'!$C$9</f>
        <v>0.72549019607843135</v>
      </c>
      <c r="E9" s="145">
        <f>D9</f>
        <v>0.72549019607843135</v>
      </c>
      <c r="F9" s="37">
        <f>F6/'Ф1-ОУ'!$C$9</f>
        <v>0.6470588235294118</v>
      </c>
      <c r="G9" s="145">
        <f>F9</f>
        <v>0.6470588235294118</v>
      </c>
      <c r="H9" s="37">
        <f>H6/'Ф1-ОУ'!$C$9</f>
        <v>0.70588235294117652</v>
      </c>
      <c r="I9" s="145">
        <f>H9</f>
        <v>0.70588235294117652</v>
      </c>
      <c r="J9" s="37">
        <f>J6/'Ф1-ОУ'!$C$9</f>
        <v>0.27450980392156865</v>
      </c>
      <c r="K9" s="145">
        <f>J9</f>
        <v>0.27450980392156865</v>
      </c>
      <c r="L9" s="37">
        <f>L6/'Ф1-ОУ'!$C$9</f>
        <v>0.49019607843137253</v>
      </c>
      <c r="M9" s="146">
        <f>L9</f>
        <v>0.49019607843137253</v>
      </c>
      <c r="N9" s="68"/>
      <c r="O9" s="68"/>
      <c r="P9" s="68"/>
      <c r="Q9" s="68"/>
      <c r="R9" s="68"/>
      <c r="S9" s="68"/>
      <c r="T9" s="55" t="s">
        <v>50</v>
      </c>
      <c r="U9" s="74">
        <f>U6/'Ф1-ОУ'!$C$9</f>
        <v>5.8823529411764705E-2</v>
      </c>
      <c r="V9" s="147">
        <f>U9</f>
        <v>5.8823529411764705E-2</v>
      </c>
      <c r="W9" s="47">
        <f>W6/'Ф1-ОУ'!$C$9</f>
        <v>1.0196078431372548</v>
      </c>
      <c r="X9" s="147">
        <f>W9</f>
        <v>1.0196078431372548</v>
      </c>
      <c r="Y9" s="47">
        <f>Y6/'Ф1-ОУ'!$C$9</f>
        <v>0.62745098039215685</v>
      </c>
      <c r="Z9" s="147">
        <f>Y9</f>
        <v>0.62745098039215685</v>
      </c>
      <c r="AA9" s="47">
        <f>AA6/'Ф1-ОУ'!$C$9</f>
        <v>0.62745098039215685</v>
      </c>
      <c r="AB9" s="147">
        <f>AA9</f>
        <v>0.62745098039215685</v>
      </c>
      <c r="AC9" s="47">
        <f>AC6/'Ф1-ОУ'!$C$9</f>
        <v>0.52941176470588236</v>
      </c>
      <c r="AD9" s="148">
        <f>AC9</f>
        <v>0.52941176470588236</v>
      </c>
    </row>
    <row r="10" spans="1:30" x14ac:dyDescent="0.2">
      <c r="A10" s="97"/>
      <c r="B10" s="97"/>
      <c r="C10" s="97"/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/>
      <c r="J10" s="10"/>
      <c r="K10" s="97"/>
      <c r="L10" s="97"/>
      <c r="M10" s="97"/>
      <c r="N10" s="97"/>
      <c r="T10" s="10">
        <v>7</v>
      </c>
      <c r="U10" s="10">
        <v>8</v>
      </c>
      <c r="V10" s="10">
        <v>9</v>
      </c>
      <c r="W10" s="10">
        <v>10</v>
      </c>
      <c r="X10" s="10">
        <v>11</v>
      </c>
      <c r="Y10" s="10"/>
      <c r="Z10" s="97"/>
      <c r="AA10" s="97"/>
      <c r="AB10" s="97"/>
      <c r="AC10" s="97"/>
      <c r="AD10" s="97"/>
    </row>
  </sheetData>
  <mergeCells count="16">
    <mergeCell ref="AC4:AD4"/>
    <mergeCell ref="A1:M1"/>
    <mergeCell ref="A3:A5"/>
    <mergeCell ref="B3:M3"/>
    <mergeCell ref="T3:T5"/>
    <mergeCell ref="U3:AD3"/>
    <mergeCell ref="B4:C4"/>
    <mergeCell ref="D4:E4"/>
    <mergeCell ref="F4:G4"/>
    <mergeCell ref="H4:I4"/>
    <mergeCell ref="J4:K4"/>
    <mergeCell ref="L4:M4"/>
    <mergeCell ref="U4:V4"/>
    <mergeCell ref="W4:X4"/>
    <mergeCell ref="Y4:Z4"/>
    <mergeCell ref="AA4:AB4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4"/>
  <sheetViews>
    <sheetView zoomScaleNormal="100" workbookViewId="0">
      <selection activeCell="J119" sqref="J119"/>
    </sheetView>
  </sheetViews>
  <sheetFormatPr defaultRowHeight="12.75" x14ac:dyDescent="0.2"/>
  <cols>
    <col min="1" max="1" width="13.28515625" customWidth="1"/>
    <col min="2" max="2" width="8.140625" customWidth="1"/>
    <col min="3" max="6" width="9" style="124" customWidth="1"/>
    <col min="7" max="7" width="11.7109375" customWidth="1"/>
    <col min="8" max="8" width="15.28515625" customWidth="1"/>
    <col min="9" max="9" width="12.5703125" customWidth="1"/>
    <col min="10" max="10" width="13.42578125" customWidth="1"/>
    <col min="11" max="11" width="11" customWidth="1"/>
  </cols>
  <sheetData>
    <row r="1" spans="1:10" ht="20.25" x14ac:dyDescent="0.3">
      <c r="A1" s="249" t="s">
        <v>164</v>
      </c>
      <c r="B1" s="249"/>
      <c r="C1" s="249"/>
      <c r="D1" s="249"/>
      <c r="E1" s="249"/>
      <c r="F1" s="249"/>
      <c r="G1" s="249"/>
      <c r="H1" s="249"/>
      <c r="I1" s="249"/>
    </row>
    <row r="3" spans="1:10" ht="49.5" customHeight="1" x14ac:dyDescent="0.25">
      <c r="A3" s="247"/>
      <c r="B3" s="247"/>
      <c r="C3" s="248" t="s">
        <v>102</v>
      </c>
      <c r="D3" s="248"/>
      <c r="E3" s="248" t="s">
        <v>163</v>
      </c>
      <c r="F3" s="248"/>
      <c r="G3" s="248" t="s">
        <v>165</v>
      </c>
      <c r="H3" s="248"/>
      <c r="I3" s="134" t="s">
        <v>105</v>
      </c>
      <c r="J3" s="133" t="s">
        <v>162</v>
      </c>
    </row>
    <row r="4" spans="1:10" ht="15.75" x14ac:dyDescent="0.25">
      <c r="A4" s="132" t="s">
        <v>26</v>
      </c>
      <c r="B4" s="131" t="str">
        <f>'Ф2-Г1'!M6</f>
        <v>1А</v>
      </c>
      <c r="C4" s="128">
        <f>'Ф1-Г1'!$C$11</f>
        <v>12</v>
      </c>
      <c r="D4" s="127">
        <f>C4/(C4+E4)</f>
        <v>0.6</v>
      </c>
      <c r="E4" s="128">
        <f>'Ф1-Г1'!$C$12</f>
        <v>8</v>
      </c>
      <c r="F4" s="127">
        <f>E4/(C4+E4)</f>
        <v>0.4</v>
      </c>
      <c r="G4" s="128">
        <f>'Ф1-Г1'!$C$13</f>
        <v>7</v>
      </c>
      <c r="H4" s="127">
        <f>G4/(C4+E4)</f>
        <v>0.35</v>
      </c>
      <c r="I4" s="126">
        <f>'Ф2-Г1'!N48</f>
        <v>3.3888888888888888</v>
      </c>
      <c r="J4" s="127">
        <f>'Ф1-Г1'!C17</f>
        <v>0.67777777777777781</v>
      </c>
    </row>
    <row r="5" spans="1:10" ht="15.75" x14ac:dyDescent="0.25">
      <c r="A5" s="132" t="s">
        <v>26</v>
      </c>
      <c r="B5" s="131" t="str">
        <f>'Ф2-Г2'!M6</f>
        <v>1Б</v>
      </c>
      <c r="C5" s="128">
        <f>'Ф1-Г2'!$C$11</f>
        <v>19</v>
      </c>
      <c r="D5" s="127">
        <f>C5/(C5+E5)</f>
        <v>0.90476190476190477</v>
      </c>
      <c r="E5" s="128">
        <f>'Ф1-Г2'!$C$12</f>
        <v>2</v>
      </c>
      <c r="F5" s="127">
        <f>E5/(C5+E5)</f>
        <v>9.5238095238095233E-2</v>
      </c>
      <c r="G5" s="128">
        <f>'Ф1-Г2'!C13</f>
        <v>2</v>
      </c>
      <c r="H5" s="127">
        <f>G5/(C5+E5)</f>
        <v>9.5238095238095233E-2</v>
      </c>
      <c r="I5" s="126">
        <f>'Ф2-Г2'!N48</f>
        <v>2.25</v>
      </c>
      <c r="J5" s="127">
        <f>'Ф1-Г2'!C17</f>
        <v>0.45</v>
      </c>
    </row>
    <row r="6" spans="1:10" ht="15.75" x14ac:dyDescent="0.25">
      <c r="A6" s="132" t="s">
        <v>26</v>
      </c>
      <c r="B6" s="131" t="str">
        <f>'Ф2-Г3'!M6</f>
        <v>1В</v>
      </c>
      <c r="C6" s="142">
        <f>'Ф1-Г3'!$C$11</f>
        <v>17</v>
      </c>
      <c r="D6" s="127">
        <f>C6/(C6+E6)</f>
        <v>0.89473684210526316</v>
      </c>
      <c r="E6" s="142">
        <f>'Ф1-Г3'!$C$12</f>
        <v>2</v>
      </c>
      <c r="F6" s="127">
        <f>E6/(C6+E6)</f>
        <v>0.10526315789473684</v>
      </c>
      <c r="G6" s="142">
        <f>'Ф1-Г3'!C13</f>
        <v>1</v>
      </c>
      <c r="H6" s="127">
        <f>G6/(C6+E6)</f>
        <v>5.2631578947368418E-2</v>
      </c>
      <c r="I6" s="126">
        <f>'Ф2-Г3'!N48</f>
        <v>2.6470588235294117</v>
      </c>
      <c r="J6" s="127">
        <f>'Ф1-Г3'!C17</f>
        <v>0.52941176470588236</v>
      </c>
    </row>
    <row r="7" spans="1:10" ht="15.75" x14ac:dyDescent="0.25">
      <c r="A7" s="130" t="s">
        <v>161</v>
      </c>
      <c r="B7" s="129" t="s">
        <v>160</v>
      </c>
      <c r="C7" s="128">
        <f>'Ф1-ОУ'!C11</f>
        <v>48</v>
      </c>
      <c r="D7" s="127">
        <f>C7/(C7+E7)</f>
        <v>0.8</v>
      </c>
      <c r="E7" s="128">
        <f>'Ф1-ОУ'!C12</f>
        <v>12</v>
      </c>
      <c r="F7" s="127">
        <f>E7/(C7+E7)</f>
        <v>0.2</v>
      </c>
      <c r="G7" s="128">
        <f>'Ф1-ОУ'!C13</f>
        <v>15</v>
      </c>
      <c r="H7" s="127">
        <f>G7/(C7+E7)</f>
        <v>0.25</v>
      </c>
      <c r="I7" s="126">
        <f>'Ф1-ОУ'!C16</f>
        <v>2.784313725490196</v>
      </c>
      <c r="J7" s="127">
        <f>'Ф1-ОУ'!C17</f>
        <v>0.55686274509803924</v>
      </c>
    </row>
    <row r="8" spans="1:10" x14ac:dyDescent="0.2">
      <c r="C8" s="125"/>
      <c r="D8" s="125"/>
      <c r="E8" s="125"/>
    </row>
    <row r="32" spans="8:9" x14ac:dyDescent="0.2">
      <c r="H32" s="124"/>
      <c r="I32" s="124"/>
    </row>
    <row r="33" spans="8:9" x14ac:dyDescent="0.2">
      <c r="H33" s="124"/>
      <c r="I33" s="124"/>
    </row>
    <row r="34" spans="8:9" x14ac:dyDescent="0.2">
      <c r="H34" s="124"/>
      <c r="I34" s="124"/>
    </row>
  </sheetData>
  <mergeCells count="5">
    <mergeCell ref="A3:B3"/>
    <mergeCell ref="E3:F3"/>
    <mergeCell ref="C3:D3"/>
    <mergeCell ref="A1:I1"/>
    <mergeCell ref="G3:H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23"/>
  <sheetViews>
    <sheetView zoomScaleNormal="100" workbookViewId="0">
      <selection activeCell="C11" sqref="C11"/>
    </sheetView>
  </sheetViews>
  <sheetFormatPr defaultRowHeight="12.75" x14ac:dyDescent="0.2"/>
  <cols>
    <col min="1" max="1" width="2.42578125" customWidth="1"/>
    <col min="2" max="2" width="43.28515625" customWidth="1"/>
    <col min="3" max="3" width="14" customWidth="1"/>
    <col min="4" max="4" width="15.140625" customWidth="1"/>
    <col min="5" max="5" width="9.140625" customWidth="1"/>
    <col min="6" max="6" width="32" customWidth="1"/>
    <col min="7" max="7" width="15.85546875" customWidth="1"/>
    <col min="8" max="8" width="15.140625" customWidth="1"/>
    <col min="9" max="10" width="4" customWidth="1"/>
    <col min="11" max="14" width="9.140625" customWidth="1"/>
  </cols>
  <sheetData>
    <row r="1" spans="2:7" ht="18" customHeight="1" x14ac:dyDescent="0.25">
      <c r="B1" s="208" t="s">
        <v>110</v>
      </c>
      <c r="C1" s="208"/>
      <c r="D1" s="208"/>
      <c r="E1" s="208"/>
      <c r="F1" s="208"/>
      <c r="G1" s="17" t="str">
        <f>C5</f>
        <v>1А</v>
      </c>
    </row>
    <row r="2" spans="2:7" ht="12" customHeight="1" x14ac:dyDescent="0.2"/>
    <row r="3" spans="2:7" x14ac:dyDescent="0.2">
      <c r="B3" s="1" t="s">
        <v>47</v>
      </c>
      <c r="C3" s="209" t="str">
        <f>'Ф2-Г1'!M2</f>
        <v>г.Хабаровск</v>
      </c>
      <c r="D3" s="209"/>
    </row>
    <row r="4" spans="2:7" x14ac:dyDescent="0.2">
      <c r="B4" s="1" t="s">
        <v>16</v>
      </c>
      <c r="C4" s="209" t="str">
        <f>'Ф2-Г1'!M3</f>
        <v>МБОУ СОШ № 83</v>
      </c>
      <c r="D4" s="209"/>
    </row>
    <row r="5" spans="2:7" x14ac:dyDescent="0.2">
      <c r="B5" s="1" t="s">
        <v>7</v>
      </c>
      <c r="C5" s="209" t="str">
        <f>'Ф2-Г1'!M6</f>
        <v>1А</v>
      </c>
      <c r="D5" s="209"/>
    </row>
    <row r="6" spans="2:7" x14ac:dyDescent="0.2">
      <c r="B6" s="1" t="s">
        <v>17</v>
      </c>
      <c r="C6" s="210">
        <f>'Ф2-Г1'!M7</f>
        <v>20</v>
      </c>
      <c r="D6" s="210"/>
    </row>
    <row r="7" spans="2:7" ht="15.75" x14ac:dyDescent="0.2">
      <c r="B7" s="211" t="s">
        <v>18</v>
      </c>
      <c r="C7" s="211"/>
      <c r="D7" s="211"/>
    </row>
    <row r="8" spans="2:7" ht="38.25" x14ac:dyDescent="0.2">
      <c r="B8" s="12" t="s">
        <v>19</v>
      </c>
      <c r="C8" s="13" t="s">
        <v>20</v>
      </c>
      <c r="D8" s="13" t="s">
        <v>21</v>
      </c>
    </row>
    <row r="9" spans="2:7" x14ac:dyDescent="0.2">
      <c r="B9" s="44" t="s">
        <v>43</v>
      </c>
      <c r="C9" s="2">
        <f>'Ф2-Г1'!I50</f>
        <v>18</v>
      </c>
      <c r="D9" s="11">
        <f>C9/C6</f>
        <v>0.9</v>
      </c>
    </row>
    <row r="10" spans="2:7" ht="15.75" x14ac:dyDescent="0.2">
      <c r="B10" s="203" t="s">
        <v>92</v>
      </c>
      <c r="C10" s="204"/>
      <c r="D10" s="205"/>
    </row>
    <row r="11" spans="2:7" x14ac:dyDescent="0.2">
      <c r="B11" s="24" t="s">
        <v>25</v>
      </c>
      <c r="C11" s="2">
        <f>'Ф2-Г1'!U47</f>
        <v>12</v>
      </c>
      <c r="D11" s="11">
        <f>C11/$C$9</f>
        <v>0.66666666666666663</v>
      </c>
    </row>
    <row r="12" spans="2:7" x14ac:dyDescent="0.2">
      <c r="B12" s="25" t="s">
        <v>148</v>
      </c>
      <c r="C12" s="2">
        <f>'Ф2-Г1'!U48</f>
        <v>8</v>
      </c>
      <c r="D12" s="11">
        <f>C12/$C$9</f>
        <v>0.44444444444444442</v>
      </c>
    </row>
    <row r="13" spans="2:7" x14ac:dyDescent="0.2">
      <c r="B13" s="26" t="s">
        <v>140</v>
      </c>
      <c r="C13" s="2">
        <f>'Ф2-Г1'!V48</f>
        <v>7</v>
      </c>
      <c r="D13" s="11">
        <f>C13/$C$9</f>
        <v>0.3888888888888889</v>
      </c>
    </row>
    <row r="14" spans="2:7" x14ac:dyDescent="0.2">
      <c r="B14" s="26" t="s">
        <v>141</v>
      </c>
      <c r="C14" s="2">
        <f>'Ф2-Г1'!V47</f>
        <v>13</v>
      </c>
      <c r="D14" s="11">
        <f>C14/$C$9</f>
        <v>0.72222222222222221</v>
      </c>
    </row>
    <row r="15" spans="2:7" ht="24" x14ac:dyDescent="0.2">
      <c r="B15" s="114" t="s">
        <v>142</v>
      </c>
      <c r="C15" s="2">
        <f>'Ф2-Г1'!V49</f>
        <v>1</v>
      </c>
      <c r="D15" s="11">
        <f>C15/$C$9</f>
        <v>5.5555555555555552E-2</v>
      </c>
    </row>
    <row r="16" spans="2:7" x14ac:dyDescent="0.2">
      <c r="B16" s="27" t="s">
        <v>22</v>
      </c>
      <c r="C16" s="206">
        <f>'Ф2-Г1'!N48</f>
        <v>3.3888888888888888</v>
      </c>
      <c r="D16" s="206"/>
    </row>
    <row r="17" spans="2:7" x14ac:dyDescent="0.2">
      <c r="B17" s="28" t="s">
        <v>49</v>
      </c>
      <c r="C17" s="250">
        <f>'Ф2-Г1'!N50</f>
        <v>0.67777777777777781</v>
      </c>
      <c r="D17" s="250"/>
    </row>
    <row r="20" spans="2:7" ht="14.25" customHeight="1" x14ac:dyDescent="0.2">
      <c r="F20" s="10" t="s">
        <v>144</v>
      </c>
      <c r="G20" s="115">
        <f>D11</f>
        <v>0.66666666666666663</v>
      </c>
    </row>
    <row r="21" spans="2:7" x14ac:dyDescent="0.2">
      <c r="F21" s="10" t="s">
        <v>143</v>
      </c>
      <c r="G21" s="115">
        <f>D12</f>
        <v>0.44444444444444442</v>
      </c>
    </row>
    <row r="22" spans="2:7" x14ac:dyDescent="0.2">
      <c r="F22" s="10" t="s">
        <v>145</v>
      </c>
      <c r="G22" s="115">
        <f>D15</f>
        <v>5.5555555555555552E-2</v>
      </c>
    </row>
    <row r="23" spans="2:7" x14ac:dyDescent="0.2">
      <c r="F23" s="10" t="s">
        <v>146</v>
      </c>
      <c r="G23" s="115">
        <f>D13</f>
        <v>0.3888888888888889</v>
      </c>
    </row>
  </sheetData>
  <mergeCells count="9">
    <mergeCell ref="B1:F1"/>
    <mergeCell ref="C3:D3"/>
    <mergeCell ref="C4:D4"/>
    <mergeCell ref="C16:D16"/>
    <mergeCell ref="C17:D17"/>
    <mergeCell ref="B10:D10"/>
    <mergeCell ref="C5:D5"/>
    <mergeCell ref="C6:D6"/>
    <mergeCell ref="B7:D7"/>
  </mergeCells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D61"/>
  <sheetViews>
    <sheetView topLeftCell="A16" zoomScale="90" zoomScaleNormal="90" workbookViewId="0">
      <selection activeCell="W32" sqref="U32:W46"/>
    </sheetView>
  </sheetViews>
  <sheetFormatPr defaultRowHeight="12.75" x14ac:dyDescent="0.2"/>
  <cols>
    <col min="1" max="1" width="4.28515625" customWidth="1"/>
    <col min="2" max="2" width="4.42578125" customWidth="1"/>
    <col min="3" max="3" width="9.42578125" customWidth="1"/>
    <col min="4" max="4" width="6.85546875" customWidth="1"/>
    <col min="5" max="5" width="5.85546875" customWidth="1"/>
    <col min="6" max="6" width="10.85546875" customWidth="1"/>
    <col min="7" max="7" width="11.42578125" customWidth="1"/>
    <col min="8" max="8" width="10.85546875" customWidth="1"/>
    <col min="9" max="13" width="5" customWidth="1"/>
    <col min="14" max="14" width="10.140625" customWidth="1"/>
    <col min="15" max="19" width="5.85546875" customWidth="1"/>
    <col min="20" max="20" width="11.85546875" customWidth="1"/>
    <col min="21" max="22" width="16" customWidth="1"/>
    <col min="23" max="23" width="13.42578125" customWidth="1"/>
    <col min="24" max="24" width="24.5703125" style="10" customWidth="1"/>
    <col min="25" max="26" width="9.140625" style="9" customWidth="1"/>
    <col min="27" max="27" width="8.28515625" customWidth="1"/>
    <col min="28" max="28" width="8.42578125" customWidth="1"/>
    <col min="29" max="29" width="7" customWidth="1"/>
  </cols>
  <sheetData>
    <row r="1" spans="1:30" ht="25.5" customHeight="1" x14ac:dyDescent="0.25">
      <c r="A1" s="256" t="s">
        <v>111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7" t="s">
        <v>139</v>
      </c>
      <c r="V1" s="7"/>
    </row>
    <row r="2" spans="1:30" ht="15.75" customHeight="1" x14ac:dyDescent="0.2">
      <c r="A2" s="257" t="s">
        <v>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1" t="s">
        <v>176</v>
      </c>
      <c r="N2" s="262"/>
      <c r="O2" s="262"/>
      <c r="P2" s="262"/>
      <c r="Q2" s="262"/>
      <c r="R2" s="262"/>
      <c r="S2" s="262"/>
      <c r="T2" s="263"/>
      <c r="U2" s="35">
        <v>27</v>
      </c>
      <c r="V2" s="80"/>
    </row>
    <row r="3" spans="1:30" ht="15" x14ac:dyDescent="0.2">
      <c r="A3" s="257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 t="s">
        <v>177</v>
      </c>
      <c r="N3" s="258"/>
      <c r="O3" s="258"/>
      <c r="P3" s="258"/>
      <c r="Q3" s="258"/>
      <c r="R3" s="258"/>
      <c r="S3" s="258"/>
      <c r="T3" s="258"/>
      <c r="U3" s="36" t="s">
        <v>181</v>
      </c>
      <c r="V3" s="91"/>
    </row>
    <row r="4" spans="1:30" ht="14.25" x14ac:dyDescent="0.2">
      <c r="A4" s="257" t="s">
        <v>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64" t="s">
        <v>178</v>
      </c>
      <c r="N4" s="265"/>
      <c r="O4" s="265"/>
      <c r="P4" s="265"/>
      <c r="Q4" s="265"/>
      <c r="R4" s="265"/>
      <c r="S4" s="265"/>
      <c r="T4" s="266"/>
      <c r="U4" s="16"/>
      <c r="V4" s="66"/>
    </row>
    <row r="5" spans="1:30" ht="14.25" x14ac:dyDescent="0.2">
      <c r="A5" s="259" t="s">
        <v>48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64" t="s">
        <v>179</v>
      </c>
      <c r="N5" s="265"/>
      <c r="O5" s="265"/>
      <c r="P5" s="265"/>
      <c r="Q5" s="265"/>
      <c r="R5" s="265"/>
      <c r="S5" s="265"/>
      <c r="T5" s="266"/>
      <c r="U5" s="16"/>
      <c r="V5" s="66"/>
    </row>
    <row r="6" spans="1:30" ht="15" x14ac:dyDescent="0.2">
      <c r="A6" s="257" t="s">
        <v>26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72" t="s">
        <v>128</v>
      </c>
      <c r="N6" s="272"/>
      <c r="O6" s="272"/>
      <c r="P6" s="272"/>
      <c r="Q6" s="272"/>
      <c r="R6" s="272"/>
      <c r="S6" s="272"/>
      <c r="T6" s="272"/>
      <c r="U6" s="36" t="s">
        <v>52</v>
      </c>
      <c r="V6" s="91"/>
    </row>
    <row r="7" spans="1:30" ht="14.25" x14ac:dyDescent="0.2">
      <c r="A7" s="257" t="s">
        <v>45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8">
        <v>20</v>
      </c>
      <c r="N7" s="258"/>
      <c r="O7" s="258"/>
      <c r="P7" s="258"/>
      <c r="Q7" s="258"/>
      <c r="R7" s="258"/>
      <c r="S7" s="258"/>
      <c r="T7" s="258"/>
      <c r="U7" s="34"/>
      <c r="V7" s="81"/>
    </row>
    <row r="8" spans="1:30" ht="14.25" x14ac:dyDescent="0.2">
      <c r="A8" s="259" t="s">
        <v>2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60" t="s">
        <v>180</v>
      </c>
      <c r="N8" s="260"/>
      <c r="O8" s="260"/>
      <c r="P8" s="260"/>
      <c r="Q8" s="260"/>
      <c r="R8" s="260"/>
      <c r="S8" s="260"/>
      <c r="T8" s="260"/>
      <c r="U8" s="29"/>
      <c r="V8" s="82"/>
    </row>
    <row r="9" spans="1:30" ht="12.75" customHeight="1" thickBot="1" x14ac:dyDescent="0.25">
      <c r="A9" s="267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9"/>
      <c r="N9" s="269"/>
      <c r="O9" s="269"/>
      <c r="P9" s="269"/>
      <c r="Q9" s="269"/>
      <c r="R9" s="269"/>
      <c r="S9" s="269"/>
      <c r="T9" s="269"/>
      <c r="U9" s="269"/>
      <c r="V9" s="62"/>
    </row>
    <row r="10" spans="1:30" ht="15" customHeight="1" x14ac:dyDescent="0.25">
      <c r="A10" s="301" t="s">
        <v>3</v>
      </c>
      <c r="B10" s="299" t="s">
        <v>37</v>
      </c>
      <c r="C10" s="299"/>
      <c r="D10" s="299"/>
      <c r="E10" s="299"/>
      <c r="F10" s="251" t="s">
        <v>137</v>
      </c>
      <c r="G10" s="253" t="s">
        <v>51</v>
      </c>
      <c r="H10" s="255" t="s">
        <v>39</v>
      </c>
      <c r="I10" s="255"/>
      <c r="J10" s="255"/>
      <c r="K10" s="255"/>
      <c r="L10" s="255"/>
      <c r="M10" s="255"/>
      <c r="N10" s="270" t="s">
        <v>38</v>
      </c>
      <c r="O10" s="291" t="s">
        <v>40</v>
      </c>
      <c r="P10" s="291"/>
      <c r="Q10" s="291"/>
      <c r="R10" s="291"/>
      <c r="S10" s="291"/>
      <c r="T10" s="307" t="s">
        <v>41</v>
      </c>
      <c r="U10" s="253" t="s">
        <v>126</v>
      </c>
      <c r="V10" s="253" t="s">
        <v>138</v>
      </c>
      <c r="W10" s="303" t="s">
        <v>127</v>
      </c>
      <c r="Y10" s="10"/>
      <c r="Z10" s="10"/>
      <c r="AA10" s="10"/>
      <c r="AB10" s="10"/>
      <c r="AC10" s="10"/>
    </row>
    <row r="11" spans="1:30" ht="59.25" customHeight="1" x14ac:dyDescent="0.2">
      <c r="A11" s="302"/>
      <c r="B11" s="300"/>
      <c r="C11" s="300"/>
      <c r="D11" s="300"/>
      <c r="E11" s="300"/>
      <c r="F11" s="252"/>
      <c r="G11" s="254"/>
      <c r="H11" s="84">
        <v>1</v>
      </c>
      <c r="I11" s="21">
        <v>2</v>
      </c>
      <c r="J11" s="21">
        <v>3</v>
      </c>
      <c r="K11" s="21">
        <v>4</v>
      </c>
      <c r="L11" s="21">
        <v>5</v>
      </c>
      <c r="M11" s="21">
        <v>6</v>
      </c>
      <c r="N11" s="271"/>
      <c r="O11" s="22">
        <v>7</v>
      </c>
      <c r="P11" s="22">
        <v>8</v>
      </c>
      <c r="Q11" s="22">
        <v>9</v>
      </c>
      <c r="R11" s="22">
        <v>10</v>
      </c>
      <c r="S11" s="22">
        <v>11</v>
      </c>
      <c r="T11" s="308"/>
      <c r="U11" s="254"/>
      <c r="V11" s="254"/>
      <c r="W11" s="304"/>
      <c r="Y11" s="305" t="s">
        <v>93</v>
      </c>
      <c r="Z11" s="306"/>
      <c r="AA11" s="298" t="s">
        <v>95</v>
      </c>
      <c r="AB11" s="298"/>
      <c r="AC11" s="10"/>
      <c r="AD11" s="9"/>
    </row>
    <row r="12" spans="1:30" ht="15" x14ac:dyDescent="0.25">
      <c r="A12" s="119">
        <v>1</v>
      </c>
      <c r="B12" s="85">
        <f>$U$2</f>
        <v>27</v>
      </c>
      <c r="C12" s="86" t="str">
        <f>$U$3</f>
        <v>138075</v>
      </c>
      <c r="D12" s="87" t="str">
        <f>$U$6</f>
        <v>0101</v>
      </c>
      <c r="E12" s="88" t="s">
        <v>53</v>
      </c>
      <c r="F12" s="101">
        <v>0</v>
      </c>
      <c r="G12" s="89" t="s">
        <v>182</v>
      </c>
      <c r="H12" s="93">
        <v>33</v>
      </c>
      <c r="I12" s="14">
        <v>1</v>
      </c>
      <c r="J12" s="14">
        <v>0</v>
      </c>
      <c r="K12" s="14">
        <v>0</v>
      </c>
      <c r="L12" s="14">
        <v>1</v>
      </c>
      <c r="M12" s="14">
        <v>1</v>
      </c>
      <c r="N12" s="20">
        <f t="shared" ref="N12:N46" si="0">SUM(I12:M12)</f>
        <v>3</v>
      </c>
      <c r="O12" s="18">
        <v>0</v>
      </c>
      <c r="P12" s="18">
        <v>1</v>
      </c>
      <c r="Q12" s="18">
        <v>1</v>
      </c>
      <c r="R12" s="18">
        <v>0</v>
      </c>
      <c r="S12" s="18">
        <v>1</v>
      </c>
      <c r="T12" s="19">
        <f>SUM(O12:S12)</f>
        <v>3</v>
      </c>
      <c r="U12" s="83" t="str">
        <f>IF(G12&lt;&gt;"",(IF(F12=1,(IF(AND(H12&gt;=40,N12&gt;=5),"БУ","ГР")),(IF(AND(H12&gt;=20,N12&gt;=4),"БУ","ГР")))),"отсутствует")</f>
        <v>ГР</v>
      </c>
      <c r="V12" s="83" t="str">
        <f>IF(G12&lt;&gt;"",(IF(AND(U12="БУ",T12&gt;=3),"достиг","-")),"отсутствует")</f>
        <v>-</v>
      </c>
      <c r="W12" s="120" t="str">
        <f>IF(G12&lt;&gt;"",IF(AA12=AB12,"совпадение",IF(AA12&lt;AB12,"занижено","завышено")),"оценки нет")</f>
        <v>завышено</v>
      </c>
      <c r="X12" s="51">
        <f>$N$48</f>
        <v>3.3888888888888888</v>
      </c>
      <c r="Y12" s="52">
        <f>N12/5</f>
        <v>0.6</v>
      </c>
      <c r="Z12" s="52">
        <f>$N$50</f>
        <v>0.67777777777777781</v>
      </c>
      <c r="AA12" s="10">
        <f t="shared" ref="AA12:AA46" si="1">IF(G12="ГР",1,IF(G12="БУ",2,IF(G12="ПБ",3)))</f>
        <v>2</v>
      </c>
      <c r="AB12" s="10">
        <f>IF(U12="ГР",1,IF(U12="БУ",2,IF(U12="ПБ",3)))</f>
        <v>1</v>
      </c>
      <c r="AC12" s="10">
        <f>IF(AND(U12="БУ",V12="-"),1,0)</f>
        <v>0</v>
      </c>
      <c r="AD12" s="9"/>
    </row>
    <row r="13" spans="1:30" ht="15" x14ac:dyDescent="0.25">
      <c r="A13" s="119">
        <v>2</v>
      </c>
      <c r="B13" s="85">
        <f t="shared" ref="B13:B31" si="2">$U$2</f>
        <v>27</v>
      </c>
      <c r="C13" s="86" t="str">
        <f t="shared" ref="C13:C31" si="3">$U$3</f>
        <v>138075</v>
      </c>
      <c r="D13" s="87" t="str">
        <f t="shared" ref="D13:D31" si="4">$U$6</f>
        <v>0101</v>
      </c>
      <c r="E13" s="88" t="s">
        <v>54</v>
      </c>
      <c r="F13" s="101">
        <v>0</v>
      </c>
      <c r="G13" s="89" t="s">
        <v>183</v>
      </c>
      <c r="H13" s="93">
        <v>24</v>
      </c>
      <c r="I13" s="14">
        <v>1</v>
      </c>
      <c r="J13" s="14">
        <v>0</v>
      </c>
      <c r="K13" s="14">
        <v>1</v>
      </c>
      <c r="L13" s="14" t="s">
        <v>190</v>
      </c>
      <c r="M13" s="14">
        <v>0</v>
      </c>
      <c r="N13" s="20">
        <f t="shared" si="0"/>
        <v>2</v>
      </c>
      <c r="O13" s="18" t="s">
        <v>190</v>
      </c>
      <c r="P13" s="18">
        <v>1</v>
      </c>
      <c r="Q13" s="18" t="s">
        <v>189</v>
      </c>
      <c r="R13" s="18" t="s">
        <v>190</v>
      </c>
      <c r="S13" s="18" t="s">
        <v>190</v>
      </c>
      <c r="T13" s="19">
        <f t="shared" ref="T13:T46" si="5">SUM(O13:S13)</f>
        <v>1</v>
      </c>
      <c r="U13" s="83" t="str">
        <f t="shared" ref="U13:U31" si="6">IF(G13&lt;&gt;"",(IF(F13=1,(IF(AND(H13&gt;=40,N13&gt;=5),"БУ","ГР")),(IF(AND(H13&gt;=20,N13&gt;=4),"БУ","ГР")))),"отсутствует")</f>
        <v>ГР</v>
      </c>
      <c r="V13" s="83" t="str">
        <f t="shared" ref="V13:V31" si="7">IF(G13&lt;&gt;"",(IF(AND(U13="БУ",T13&gt;=3),"достиг","-")),"отсутствует")</f>
        <v>-</v>
      </c>
      <c r="W13" s="120" t="str">
        <f t="shared" ref="W13:W31" si="8">IF(G13&lt;&gt;"",IF(AA13=AB13,"совпадение",IF(AA13&lt;AB13,"занижено","завышено")),"оценки нет")</f>
        <v>совпадение</v>
      </c>
      <c r="X13" s="51">
        <f t="shared" ref="X13:X46" si="9">$N$48</f>
        <v>3.3888888888888888</v>
      </c>
      <c r="Y13" s="52">
        <f t="shared" ref="Y13:Y46" si="10">N13/5</f>
        <v>0.4</v>
      </c>
      <c r="Z13" s="52">
        <f t="shared" ref="Z13:Z46" si="11">$N$50</f>
        <v>0.67777777777777781</v>
      </c>
      <c r="AA13" s="10">
        <f t="shared" si="1"/>
        <v>1</v>
      </c>
      <c r="AB13" s="10">
        <f t="shared" ref="AB13:AB46" si="12">IF(U13="ГР",1,IF(U13="БУ",2,IF(U13="ПБ",3)))</f>
        <v>1</v>
      </c>
      <c r="AC13" s="10">
        <f t="shared" ref="AC13:AC46" si="13">IF(AND(U13="БУ",V13="-"),1,0)</f>
        <v>0</v>
      </c>
      <c r="AD13" s="9"/>
    </row>
    <row r="14" spans="1:30" ht="15" x14ac:dyDescent="0.25">
      <c r="A14" s="119">
        <v>3</v>
      </c>
      <c r="B14" s="85">
        <f t="shared" si="2"/>
        <v>27</v>
      </c>
      <c r="C14" s="86" t="str">
        <f t="shared" si="3"/>
        <v>138075</v>
      </c>
      <c r="D14" s="87" t="str">
        <f t="shared" si="4"/>
        <v>0101</v>
      </c>
      <c r="E14" s="88" t="s">
        <v>55</v>
      </c>
      <c r="F14" s="101">
        <v>0</v>
      </c>
      <c r="G14" s="89" t="s">
        <v>188</v>
      </c>
      <c r="H14" s="93">
        <v>32</v>
      </c>
      <c r="I14" s="14">
        <v>1</v>
      </c>
      <c r="J14" s="14">
        <v>1</v>
      </c>
      <c r="K14" s="14">
        <v>1</v>
      </c>
      <c r="L14" s="14">
        <v>0</v>
      </c>
      <c r="M14" s="14">
        <v>1</v>
      </c>
      <c r="N14" s="20">
        <f t="shared" si="0"/>
        <v>4</v>
      </c>
      <c r="O14" s="18">
        <v>0</v>
      </c>
      <c r="P14" s="18">
        <v>1</v>
      </c>
      <c r="Q14" s="18">
        <v>1</v>
      </c>
      <c r="R14" s="18">
        <v>1</v>
      </c>
      <c r="S14" s="18">
        <v>1</v>
      </c>
      <c r="T14" s="19">
        <f t="shared" si="5"/>
        <v>4</v>
      </c>
      <c r="U14" s="83" t="str">
        <f t="shared" si="6"/>
        <v>БУ</v>
      </c>
      <c r="V14" s="83" t="str">
        <f t="shared" si="7"/>
        <v>достиг</v>
      </c>
      <c r="W14" s="120" t="str">
        <f t="shared" si="8"/>
        <v>завышено</v>
      </c>
      <c r="X14" s="51">
        <f t="shared" si="9"/>
        <v>3.3888888888888888</v>
      </c>
      <c r="Y14" s="52">
        <f t="shared" si="10"/>
        <v>0.8</v>
      </c>
      <c r="Z14" s="52">
        <f t="shared" si="11"/>
        <v>0.67777777777777781</v>
      </c>
      <c r="AA14" s="10" t="b">
        <f t="shared" si="1"/>
        <v>0</v>
      </c>
      <c r="AB14" s="10">
        <f t="shared" si="12"/>
        <v>2</v>
      </c>
      <c r="AC14" s="10">
        <f t="shared" si="13"/>
        <v>0</v>
      </c>
      <c r="AD14" s="9"/>
    </row>
    <row r="15" spans="1:30" ht="15" x14ac:dyDescent="0.25">
      <c r="A15" s="119">
        <v>4</v>
      </c>
      <c r="B15" s="85">
        <f t="shared" si="2"/>
        <v>27</v>
      </c>
      <c r="C15" s="86" t="str">
        <f t="shared" si="3"/>
        <v>138075</v>
      </c>
      <c r="D15" s="87" t="str">
        <f t="shared" si="4"/>
        <v>0101</v>
      </c>
      <c r="E15" s="88" t="s">
        <v>56</v>
      </c>
      <c r="F15" s="101">
        <v>0</v>
      </c>
      <c r="G15" s="89" t="s">
        <v>183</v>
      </c>
      <c r="H15" s="93">
        <v>33</v>
      </c>
      <c r="I15" s="14">
        <v>1</v>
      </c>
      <c r="J15" s="14">
        <v>0</v>
      </c>
      <c r="K15" s="14">
        <v>1</v>
      </c>
      <c r="L15" s="14">
        <v>0</v>
      </c>
      <c r="M15" s="14">
        <v>1</v>
      </c>
      <c r="N15" s="20">
        <f>SUM(I15:M15)</f>
        <v>3</v>
      </c>
      <c r="O15" s="18">
        <v>0</v>
      </c>
      <c r="P15" s="18">
        <v>1</v>
      </c>
      <c r="Q15" s="18">
        <v>1</v>
      </c>
      <c r="R15" s="18">
        <v>1</v>
      </c>
      <c r="S15" s="18">
        <v>1</v>
      </c>
      <c r="T15" s="19">
        <f t="shared" si="5"/>
        <v>4</v>
      </c>
      <c r="U15" s="83" t="str">
        <f t="shared" si="6"/>
        <v>ГР</v>
      </c>
      <c r="V15" s="83" t="str">
        <f t="shared" si="7"/>
        <v>-</v>
      </c>
      <c r="W15" s="120" t="str">
        <f t="shared" si="8"/>
        <v>совпадение</v>
      </c>
      <c r="X15" s="51">
        <f t="shared" si="9"/>
        <v>3.3888888888888888</v>
      </c>
      <c r="Y15" s="52">
        <f t="shared" si="10"/>
        <v>0.6</v>
      </c>
      <c r="Z15" s="52">
        <f t="shared" si="11"/>
        <v>0.67777777777777781</v>
      </c>
      <c r="AA15" s="10">
        <f t="shared" si="1"/>
        <v>1</v>
      </c>
      <c r="AB15" s="10">
        <f t="shared" si="12"/>
        <v>1</v>
      </c>
      <c r="AC15" s="10">
        <f t="shared" si="13"/>
        <v>0</v>
      </c>
      <c r="AD15" s="9"/>
    </row>
    <row r="16" spans="1:30" ht="15" x14ac:dyDescent="0.25">
      <c r="A16" s="119">
        <v>5</v>
      </c>
      <c r="B16" s="85">
        <f t="shared" si="2"/>
        <v>27</v>
      </c>
      <c r="C16" s="86" t="str">
        <f t="shared" si="3"/>
        <v>138075</v>
      </c>
      <c r="D16" s="87" t="str">
        <f t="shared" si="4"/>
        <v>0101</v>
      </c>
      <c r="E16" s="88" t="s">
        <v>57</v>
      </c>
      <c r="F16" s="101">
        <v>0</v>
      </c>
      <c r="G16" s="89" t="s">
        <v>191</v>
      </c>
      <c r="H16" s="93">
        <v>32</v>
      </c>
      <c r="I16" s="14">
        <v>1</v>
      </c>
      <c r="J16" s="14">
        <v>1</v>
      </c>
      <c r="K16" s="14">
        <v>1</v>
      </c>
      <c r="L16" s="14">
        <v>0</v>
      </c>
      <c r="M16" s="14">
        <v>1</v>
      </c>
      <c r="N16" s="20">
        <f t="shared" si="0"/>
        <v>4</v>
      </c>
      <c r="O16" s="18">
        <v>0</v>
      </c>
      <c r="P16" s="18">
        <v>1</v>
      </c>
      <c r="Q16" s="18">
        <v>1</v>
      </c>
      <c r="R16" s="18">
        <v>0</v>
      </c>
      <c r="S16" s="18">
        <v>0</v>
      </c>
      <c r="T16" s="19">
        <f t="shared" si="5"/>
        <v>2</v>
      </c>
      <c r="U16" s="83" t="str">
        <f t="shared" si="6"/>
        <v>БУ</v>
      </c>
      <c r="V16" s="83" t="str">
        <f t="shared" si="7"/>
        <v>-</v>
      </c>
      <c r="W16" s="120" t="str">
        <f t="shared" si="8"/>
        <v>завышено</v>
      </c>
      <c r="X16" s="51">
        <f t="shared" si="9"/>
        <v>3.3888888888888888</v>
      </c>
      <c r="Y16" s="52">
        <f t="shared" si="10"/>
        <v>0.8</v>
      </c>
      <c r="Z16" s="52">
        <f t="shared" si="11"/>
        <v>0.67777777777777781</v>
      </c>
      <c r="AA16" s="10" t="b">
        <f t="shared" si="1"/>
        <v>0</v>
      </c>
      <c r="AB16" s="10">
        <f t="shared" si="12"/>
        <v>2</v>
      </c>
      <c r="AC16" s="10">
        <f t="shared" si="13"/>
        <v>1</v>
      </c>
      <c r="AD16" s="9"/>
    </row>
    <row r="17" spans="1:30" ht="15" x14ac:dyDescent="0.25">
      <c r="A17" s="119">
        <v>6</v>
      </c>
      <c r="B17" s="85">
        <f t="shared" si="2"/>
        <v>27</v>
      </c>
      <c r="C17" s="86" t="str">
        <f t="shared" si="3"/>
        <v>138075</v>
      </c>
      <c r="D17" s="87" t="str">
        <f t="shared" si="4"/>
        <v>0101</v>
      </c>
      <c r="E17" s="88" t="s">
        <v>58</v>
      </c>
      <c r="F17" s="101">
        <v>1</v>
      </c>
      <c r="G17" s="89" t="s">
        <v>188</v>
      </c>
      <c r="H17" s="93">
        <v>82</v>
      </c>
      <c r="I17" s="14">
        <v>1</v>
      </c>
      <c r="J17" s="14">
        <v>1</v>
      </c>
      <c r="K17" s="14">
        <v>1</v>
      </c>
      <c r="L17" s="14">
        <v>1</v>
      </c>
      <c r="M17" s="14">
        <v>0</v>
      </c>
      <c r="N17" s="20">
        <f t="shared" si="0"/>
        <v>4</v>
      </c>
      <c r="O17" s="18">
        <v>0</v>
      </c>
      <c r="P17" s="18">
        <v>1</v>
      </c>
      <c r="Q17" s="18">
        <v>1</v>
      </c>
      <c r="R17" s="18">
        <v>1</v>
      </c>
      <c r="S17" s="18">
        <v>1</v>
      </c>
      <c r="T17" s="19">
        <f t="shared" si="5"/>
        <v>4</v>
      </c>
      <c r="U17" s="83" t="str">
        <f t="shared" si="6"/>
        <v>ГР</v>
      </c>
      <c r="V17" s="83" t="str">
        <f t="shared" si="7"/>
        <v>-</v>
      </c>
      <c r="W17" s="120" t="str">
        <f t="shared" si="8"/>
        <v>завышено</v>
      </c>
      <c r="X17" s="51">
        <f t="shared" si="9"/>
        <v>3.3888888888888888</v>
      </c>
      <c r="Y17" s="52">
        <f t="shared" si="10"/>
        <v>0.8</v>
      </c>
      <c r="Z17" s="52">
        <f t="shared" si="11"/>
        <v>0.67777777777777781</v>
      </c>
      <c r="AA17" s="10" t="b">
        <f t="shared" si="1"/>
        <v>0</v>
      </c>
      <c r="AB17" s="10">
        <f t="shared" si="12"/>
        <v>1</v>
      </c>
      <c r="AC17" s="10">
        <f t="shared" si="13"/>
        <v>0</v>
      </c>
      <c r="AD17" s="9"/>
    </row>
    <row r="18" spans="1:30" ht="15" x14ac:dyDescent="0.25">
      <c r="A18" s="119">
        <v>7</v>
      </c>
      <c r="B18" s="85">
        <f t="shared" si="2"/>
        <v>27</v>
      </c>
      <c r="C18" s="86" t="str">
        <f t="shared" si="3"/>
        <v>138075</v>
      </c>
      <c r="D18" s="87" t="str">
        <f t="shared" si="4"/>
        <v>0101</v>
      </c>
      <c r="E18" s="88" t="s">
        <v>59</v>
      </c>
      <c r="F18" s="101">
        <v>0</v>
      </c>
      <c r="G18" s="89" t="s">
        <v>183</v>
      </c>
      <c r="H18" s="93">
        <v>33</v>
      </c>
      <c r="I18" s="14">
        <v>0</v>
      </c>
      <c r="J18" s="14">
        <v>0</v>
      </c>
      <c r="K18" s="14">
        <v>0</v>
      </c>
      <c r="L18" s="14">
        <v>0</v>
      </c>
      <c r="M18" s="14">
        <v>1</v>
      </c>
      <c r="N18" s="20">
        <f t="shared" si="0"/>
        <v>1</v>
      </c>
      <c r="O18" s="18">
        <v>0</v>
      </c>
      <c r="P18" s="18">
        <v>1</v>
      </c>
      <c r="Q18" s="18">
        <v>1</v>
      </c>
      <c r="R18" s="18">
        <v>1</v>
      </c>
      <c r="S18" s="18">
        <v>1</v>
      </c>
      <c r="T18" s="19">
        <f t="shared" si="5"/>
        <v>4</v>
      </c>
      <c r="U18" s="83" t="str">
        <f t="shared" si="6"/>
        <v>ГР</v>
      </c>
      <c r="V18" s="83" t="str">
        <f t="shared" si="7"/>
        <v>-</v>
      </c>
      <c r="W18" s="120" t="str">
        <f t="shared" si="8"/>
        <v>совпадение</v>
      </c>
      <c r="X18" s="51">
        <f t="shared" si="9"/>
        <v>3.3888888888888888</v>
      </c>
      <c r="Y18" s="52">
        <f t="shared" si="10"/>
        <v>0.2</v>
      </c>
      <c r="Z18" s="52">
        <f t="shared" si="11"/>
        <v>0.67777777777777781</v>
      </c>
      <c r="AA18" s="10">
        <f t="shared" si="1"/>
        <v>1</v>
      </c>
      <c r="AB18" s="10">
        <f t="shared" si="12"/>
        <v>1</v>
      </c>
      <c r="AC18" s="10">
        <f t="shared" si="13"/>
        <v>0</v>
      </c>
      <c r="AD18" s="9"/>
    </row>
    <row r="19" spans="1:30" ht="15" x14ac:dyDescent="0.25">
      <c r="A19" s="119">
        <v>8</v>
      </c>
      <c r="B19" s="85">
        <f t="shared" si="2"/>
        <v>27</v>
      </c>
      <c r="C19" s="86" t="str">
        <f t="shared" si="3"/>
        <v>138075</v>
      </c>
      <c r="D19" s="87" t="str">
        <f t="shared" si="4"/>
        <v>0101</v>
      </c>
      <c r="E19" s="88" t="s">
        <v>60</v>
      </c>
      <c r="F19" s="101">
        <v>0</v>
      </c>
      <c r="G19" s="89" t="s">
        <v>182</v>
      </c>
      <c r="H19" s="93">
        <v>26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20">
        <f t="shared" si="0"/>
        <v>5</v>
      </c>
      <c r="O19" s="18">
        <v>1</v>
      </c>
      <c r="P19" s="18">
        <v>1</v>
      </c>
      <c r="Q19" s="18">
        <v>1</v>
      </c>
      <c r="R19" s="18">
        <v>1</v>
      </c>
      <c r="S19" s="18" t="s">
        <v>190</v>
      </c>
      <c r="T19" s="19">
        <f t="shared" si="5"/>
        <v>4</v>
      </c>
      <c r="U19" s="83" t="str">
        <f t="shared" si="6"/>
        <v>БУ</v>
      </c>
      <c r="V19" s="83" t="str">
        <f t="shared" si="7"/>
        <v>достиг</v>
      </c>
      <c r="W19" s="120" t="str">
        <f t="shared" si="8"/>
        <v>совпадение</v>
      </c>
      <c r="X19" s="51">
        <f t="shared" si="9"/>
        <v>3.3888888888888888</v>
      </c>
      <c r="Y19" s="52">
        <f t="shared" si="10"/>
        <v>1</v>
      </c>
      <c r="Z19" s="52">
        <f t="shared" si="11"/>
        <v>0.67777777777777781</v>
      </c>
      <c r="AA19" s="10">
        <f t="shared" si="1"/>
        <v>2</v>
      </c>
      <c r="AB19" s="10">
        <f t="shared" si="12"/>
        <v>2</v>
      </c>
      <c r="AC19" s="10">
        <f t="shared" si="13"/>
        <v>0</v>
      </c>
      <c r="AD19" s="9"/>
    </row>
    <row r="20" spans="1:30" ht="15" x14ac:dyDescent="0.25">
      <c r="A20" s="119">
        <v>9</v>
      </c>
      <c r="B20" s="85">
        <f t="shared" si="2"/>
        <v>27</v>
      </c>
      <c r="C20" s="86" t="str">
        <f t="shared" si="3"/>
        <v>138075</v>
      </c>
      <c r="D20" s="87" t="str">
        <f t="shared" si="4"/>
        <v>0101</v>
      </c>
      <c r="E20" s="88" t="s">
        <v>61</v>
      </c>
      <c r="F20" s="101">
        <v>0</v>
      </c>
      <c r="G20" s="89" t="s">
        <v>191</v>
      </c>
      <c r="H20" s="93">
        <v>35</v>
      </c>
      <c r="I20" s="14">
        <v>0</v>
      </c>
      <c r="J20" s="14">
        <v>1</v>
      </c>
      <c r="K20" s="14">
        <v>1</v>
      </c>
      <c r="L20" s="14">
        <v>1</v>
      </c>
      <c r="M20" s="14">
        <v>1</v>
      </c>
      <c r="N20" s="20">
        <f t="shared" si="0"/>
        <v>4</v>
      </c>
      <c r="O20" s="18">
        <v>0</v>
      </c>
      <c r="P20" s="18">
        <v>1</v>
      </c>
      <c r="Q20" s="18">
        <v>1</v>
      </c>
      <c r="R20" s="18">
        <v>1</v>
      </c>
      <c r="S20" s="18">
        <v>1</v>
      </c>
      <c r="T20" s="19">
        <f t="shared" si="5"/>
        <v>4</v>
      </c>
      <c r="U20" s="83" t="str">
        <f t="shared" si="6"/>
        <v>БУ</v>
      </c>
      <c r="V20" s="83" t="str">
        <f t="shared" si="7"/>
        <v>достиг</v>
      </c>
      <c r="W20" s="120" t="str">
        <f t="shared" si="8"/>
        <v>завышено</v>
      </c>
      <c r="X20" s="51">
        <f t="shared" si="9"/>
        <v>3.3888888888888888</v>
      </c>
      <c r="Y20" s="52">
        <f t="shared" si="10"/>
        <v>0.8</v>
      </c>
      <c r="Z20" s="52">
        <f t="shared" si="11"/>
        <v>0.67777777777777781</v>
      </c>
      <c r="AA20" s="10" t="b">
        <f t="shared" si="1"/>
        <v>0</v>
      </c>
      <c r="AB20" s="10">
        <f t="shared" si="12"/>
        <v>2</v>
      </c>
      <c r="AC20" s="10">
        <f t="shared" si="13"/>
        <v>0</v>
      </c>
      <c r="AD20" s="9"/>
    </row>
    <row r="21" spans="1:30" ht="15" x14ac:dyDescent="0.25">
      <c r="A21" s="119">
        <v>10</v>
      </c>
      <c r="B21" s="85">
        <f t="shared" si="2"/>
        <v>27</v>
      </c>
      <c r="C21" s="86" t="str">
        <f t="shared" si="3"/>
        <v>138075</v>
      </c>
      <c r="D21" s="87" t="str">
        <f t="shared" si="4"/>
        <v>0101</v>
      </c>
      <c r="E21" s="88" t="s">
        <v>62</v>
      </c>
      <c r="F21" s="101">
        <v>0</v>
      </c>
      <c r="G21" s="89" t="s">
        <v>191</v>
      </c>
      <c r="H21" s="93">
        <v>51</v>
      </c>
      <c r="I21" s="14">
        <v>1</v>
      </c>
      <c r="J21" s="14">
        <v>1</v>
      </c>
      <c r="K21" s="14">
        <v>1</v>
      </c>
      <c r="L21" s="14">
        <v>0</v>
      </c>
      <c r="M21" s="14">
        <v>1</v>
      </c>
      <c r="N21" s="20">
        <f t="shared" si="0"/>
        <v>4</v>
      </c>
      <c r="O21" s="18">
        <v>0</v>
      </c>
      <c r="P21" s="18">
        <v>1</v>
      </c>
      <c r="Q21" s="18">
        <v>1</v>
      </c>
      <c r="R21" s="18">
        <v>1</v>
      </c>
      <c r="S21" s="18">
        <v>1</v>
      </c>
      <c r="T21" s="19">
        <f t="shared" si="5"/>
        <v>4</v>
      </c>
      <c r="U21" s="83" t="str">
        <f t="shared" si="6"/>
        <v>БУ</v>
      </c>
      <c r="V21" s="83" t="str">
        <f t="shared" si="7"/>
        <v>достиг</v>
      </c>
      <c r="W21" s="120" t="str">
        <f t="shared" si="8"/>
        <v>завышено</v>
      </c>
      <c r="X21" s="51">
        <f t="shared" si="9"/>
        <v>3.3888888888888888</v>
      </c>
      <c r="Y21" s="52">
        <f t="shared" si="10"/>
        <v>0.8</v>
      </c>
      <c r="Z21" s="52">
        <f t="shared" si="11"/>
        <v>0.67777777777777781</v>
      </c>
      <c r="AA21" s="10" t="b">
        <f t="shared" si="1"/>
        <v>0</v>
      </c>
      <c r="AB21" s="10">
        <f t="shared" si="12"/>
        <v>2</v>
      </c>
      <c r="AC21" s="10">
        <f t="shared" si="13"/>
        <v>0</v>
      </c>
      <c r="AD21" s="9"/>
    </row>
    <row r="22" spans="1:30" ht="15" x14ac:dyDescent="0.25">
      <c r="A22" s="119">
        <v>11</v>
      </c>
      <c r="B22" s="85">
        <f t="shared" si="2"/>
        <v>27</v>
      </c>
      <c r="C22" s="86" t="str">
        <f t="shared" si="3"/>
        <v>138075</v>
      </c>
      <c r="D22" s="87" t="str">
        <f t="shared" si="4"/>
        <v>0101</v>
      </c>
      <c r="E22" s="88" t="s">
        <v>63</v>
      </c>
      <c r="F22" s="101">
        <v>0</v>
      </c>
      <c r="G22" s="89" t="s">
        <v>191</v>
      </c>
      <c r="H22" s="93">
        <v>41</v>
      </c>
      <c r="I22" s="14">
        <v>1</v>
      </c>
      <c r="J22" s="14">
        <v>0</v>
      </c>
      <c r="K22" s="14" t="s">
        <v>190</v>
      </c>
      <c r="L22" s="14">
        <v>0</v>
      </c>
      <c r="M22" s="14" t="s">
        <v>190</v>
      </c>
      <c r="N22" s="20">
        <f t="shared" si="0"/>
        <v>1</v>
      </c>
      <c r="O22" s="18" t="s">
        <v>190</v>
      </c>
      <c r="P22" s="18">
        <v>1</v>
      </c>
      <c r="Q22" s="18">
        <v>0</v>
      </c>
      <c r="R22" s="18">
        <v>0</v>
      </c>
      <c r="S22" s="18" t="s">
        <v>190</v>
      </c>
      <c r="T22" s="19">
        <f t="shared" si="5"/>
        <v>1</v>
      </c>
      <c r="U22" s="83" t="str">
        <f t="shared" si="6"/>
        <v>ГР</v>
      </c>
      <c r="V22" s="83" t="str">
        <f t="shared" si="7"/>
        <v>-</v>
      </c>
      <c r="W22" s="120" t="str">
        <f t="shared" si="8"/>
        <v>завышено</v>
      </c>
      <c r="X22" s="51">
        <f t="shared" si="9"/>
        <v>3.3888888888888888</v>
      </c>
      <c r="Y22" s="52">
        <f t="shared" si="10"/>
        <v>0.2</v>
      </c>
      <c r="Z22" s="52">
        <f t="shared" si="11"/>
        <v>0.67777777777777781</v>
      </c>
      <c r="AA22" s="10" t="b">
        <f t="shared" si="1"/>
        <v>0</v>
      </c>
      <c r="AB22" s="10">
        <f t="shared" si="12"/>
        <v>1</v>
      </c>
      <c r="AC22" s="10">
        <f t="shared" si="13"/>
        <v>0</v>
      </c>
      <c r="AD22" s="9"/>
    </row>
    <row r="23" spans="1:30" ht="15" x14ac:dyDescent="0.25">
      <c r="A23" s="119">
        <v>12</v>
      </c>
      <c r="B23" s="85">
        <f t="shared" si="2"/>
        <v>27</v>
      </c>
      <c r="C23" s="86" t="str">
        <f t="shared" si="3"/>
        <v>138075</v>
      </c>
      <c r="D23" s="87" t="str">
        <f t="shared" si="4"/>
        <v>0101</v>
      </c>
      <c r="E23" s="88" t="s">
        <v>64</v>
      </c>
      <c r="F23" s="101">
        <v>0</v>
      </c>
      <c r="G23" s="89" t="s">
        <v>183</v>
      </c>
      <c r="H23" s="93">
        <v>9</v>
      </c>
      <c r="I23" s="14">
        <v>1</v>
      </c>
      <c r="J23" s="14" t="s">
        <v>190</v>
      </c>
      <c r="K23" s="14">
        <v>0</v>
      </c>
      <c r="L23" s="14" t="s">
        <v>190</v>
      </c>
      <c r="M23" s="14">
        <v>0</v>
      </c>
      <c r="N23" s="20">
        <f t="shared" si="0"/>
        <v>1</v>
      </c>
      <c r="O23" s="18" t="s">
        <v>190</v>
      </c>
      <c r="P23" s="18">
        <v>1</v>
      </c>
      <c r="Q23" s="18" t="s">
        <v>190</v>
      </c>
      <c r="R23" s="18">
        <v>0</v>
      </c>
      <c r="S23" s="18" t="s">
        <v>190</v>
      </c>
      <c r="T23" s="19">
        <f t="shared" si="5"/>
        <v>1</v>
      </c>
      <c r="U23" s="83" t="str">
        <f t="shared" si="6"/>
        <v>ГР</v>
      </c>
      <c r="V23" s="83" t="str">
        <f t="shared" si="7"/>
        <v>-</v>
      </c>
      <c r="W23" s="120" t="str">
        <f t="shared" si="8"/>
        <v>совпадение</v>
      </c>
      <c r="X23" s="51">
        <f t="shared" si="9"/>
        <v>3.3888888888888888</v>
      </c>
      <c r="Y23" s="52">
        <f t="shared" si="10"/>
        <v>0.2</v>
      </c>
      <c r="Z23" s="52">
        <f t="shared" si="11"/>
        <v>0.67777777777777781</v>
      </c>
      <c r="AA23" s="10">
        <f t="shared" si="1"/>
        <v>1</v>
      </c>
      <c r="AB23" s="10">
        <f t="shared" si="12"/>
        <v>1</v>
      </c>
      <c r="AC23" s="10">
        <f t="shared" si="13"/>
        <v>0</v>
      </c>
      <c r="AD23" s="9"/>
    </row>
    <row r="24" spans="1:30" ht="15" x14ac:dyDescent="0.25">
      <c r="A24" s="119">
        <v>13</v>
      </c>
      <c r="B24" s="85">
        <f t="shared" si="2"/>
        <v>27</v>
      </c>
      <c r="C24" s="86" t="str">
        <f t="shared" si="3"/>
        <v>138075</v>
      </c>
      <c r="D24" s="87" t="str">
        <f t="shared" si="4"/>
        <v>0101</v>
      </c>
      <c r="E24" s="88" t="s">
        <v>65</v>
      </c>
      <c r="F24" s="101">
        <v>1</v>
      </c>
      <c r="G24" s="89" t="s">
        <v>188</v>
      </c>
      <c r="H24" s="93">
        <v>56</v>
      </c>
      <c r="I24" s="14">
        <v>1</v>
      </c>
      <c r="J24" s="14">
        <v>1</v>
      </c>
      <c r="K24" s="14">
        <v>1</v>
      </c>
      <c r="L24" s="14">
        <v>0</v>
      </c>
      <c r="M24" s="14">
        <v>1</v>
      </c>
      <c r="N24" s="20">
        <f t="shared" si="0"/>
        <v>4</v>
      </c>
      <c r="O24" s="18">
        <v>0</v>
      </c>
      <c r="P24" s="18">
        <v>1</v>
      </c>
      <c r="Q24" s="18">
        <v>1</v>
      </c>
      <c r="R24" s="18">
        <v>1</v>
      </c>
      <c r="S24" s="18">
        <v>1</v>
      </c>
      <c r="T24" s="19">
        <f t="shared" si="5"/>
        <v>4</v>
      </c>
      <c r="U24" s="83" t="str">
        <f t="shared" si="6"/>
        <v>ГР</v>
      </c>
      <c r="V24" s="83" t="str">
        <f t="shared" si="7"/>
        <v>-</v>
      </c>
      <c r="W24" s="120" t="str">
        <f t="shared" si="8"/>
        <v>завышено</v>
      </c>
      <c r="X24" s="51">
        <f t="shared" si="9"/>
        <v>3.3888888888888888</v>
      </c>
      <c r="Y24" s="52">
        <f t="shared" si="10"/>
        <v>0.8</v>
      </c>
      <c r="Z24" s="52">
        <f t="shared" si="11"/>
        <v>0.67777777777777781</v>
      </c>
      <c r="AA24" s="10" t="b">
        <f t="shared" si="1"/>
        <v>0</v>
      </c>
      <c r="AB24" s="10">
        <f t="shared" si="12"/>
        <v>1</v>
      </c>
      <c r="AC24" s="10">
        <f t="shared" si="13"/>
        <v>0</v>
      </c>
      <c r="AD24" s="9"/>
    </row>
    <row r="25" spans="1:30" ht="15" x14ac:dyDescent="0.25">
      <c r="A25" s="119">
        <v>14</v>
      </c>
      <c r="B25" s="85">
        <f t="shared" si="2"/>
        <v>27</v>
      </c>
      <c r="C25" s="86" t="str">
        <f t="shared" si="3"/>
        <v>138075</v>
      </c>
      <c r="D25" s="87" t="str">
        <f t="shared" si="4"/>
        <v>0101</v>
      </c>
      <c r="E25" s="88" t="s">
        <v>66</v>
      </c>
      <c r="F25" s="101">
        <v>1</v>
      </c>
      <c r="G25" s="89" t="s">
        <v>182</v>
      </c>
      <c r="H25" s="93">
        <v>68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20">
        <f t="shared" si="0"/>
        <v>5</v>
      </c>
      <c r="O25" s="18">
        <v>0</v>
      </c>
      <c r="P25" s="18">
        <v>1</v>
      </c>
      <c r="Q25" s="18">
        <v>1</v>
      </c>
      <c r="R25" s="18">
        <v>1</v>
      </c>
      <c r="S25" s="18">
        <v>1</v>
      </c>
      <c r="T25" s="19">
        <f t="shared" si="5"/>
        <v>4</v>
      </c>
      <c r="U25" s="83" t="str">
        <f t="shared" si="6"/>
        <v>БУ</v>
      </c>
      <c r="V25" s="83" t="str">
        <f t="shared" si="7"/>
        <v>достиг</v>
      </c>
      <c r="W25" s="120" t="str">
        <f t="shared" si="8"/>
        <v>совпадение</v>
      </c>
      <c r="X25" s="51">
        <f t="shared" si="9"/>
        <v>3.3888888888888888</v>
      </c>
      <c r="Y25" s="52">
        <f t="shared" si="10"/>
        <v>1</v>
      </c>
      <c r="Z25" s="52">
        <f t="shared" si="11"/>
        <v>0.67777777777777781</v>
      </c>
      <c r="AA25" s="10">
        <f t="shared" si="1"/>
        <v>2</v>
      </c>
      <c r="AB25" s="10">
        <f t="shared" si="12"/>
        <v>2</v>
      </c>
      <c r="AC25" s="10">
        <f t="shared" si="13"/>
        <v>0</v>
      </c>
      <c r="AD25" s="9"/>
    </row>
    <row r="26" spans="1:30" ht="15" x14ac:dyDescent="0.25">
      <c r="A26" s="119">
        <v>15</v>
      </c>
      <c r="B26" s="85">
        <f t="shared" si="2"/>
        <v>27</v>
      </c>
      <c r="C26" s="86" t="str">
        <f t="shared" si="3"/>
        <v>138075</v>
      </c>
      <c r="D26" s="87" t="str">
        <f t="shared" si="4"/>
        <v>0101</v>
      </c>
      <c r="E26" s="88" t="s">
        <v>67</v>
      </c>
      <c r="F26" s="101" t="s">
        <v>186</v>
      </c>
      <c r="G26" s="89" t="s">
        <v>186</v>
      </c>
      <c r="H26" s="93" t="s">
        <v>186</v>
      </c>
      <c r="I26" s="14" t="s">
        <v>186</v>
      </c>
      <c r="J26" s="14" t="s">
        <v>192</v>
      </c>
      <c r="K26" s="14" t="s">
        <v>186</v>
      </c>
      <c r="L26" s="14" t="s">
        <v>186</v>
      </c>
      <c r="M26" s="14" t="s">
        <v>186</v>
      </c>
      <c r="N26" s="20">
        <f t="shared" si="0"/>
        <v>0</v>
      </c>
      <c r="O26" s="18" t="s">
        <v>186</v>
      </c>
      <c r="P26" s="18" t="s">
        <v>186</v>
      </c>
      <c r="Q26" s="18" t="s">
        <v>186</v>
      </c>
      <c r="R26" s="18" t="s">
        <v>186</v>
      </c>
      <c r="S26" s="18" t="s">
        <v>186</v>
      </c>
      <c r="T26" s="19">
        <f t="shared" si="5"/>
        <v>0</v>
      </c>
      <c r="U26" s="83" t="str">
        <f t="shared" si="6"/>
        <v>ГР</v>
      </c>
      <c r="V26" s="83" t="str">
        <f t="shared" si="7"/>
        <v>-</v>
      </c>
      <c r="W26" s="120" t="str">
        <f t="shared" si="8"/>
        <v>завышено</v>
      </c>
      <c r="X26" s="51">
        <f t="shared" si="9"/>
        <v>3.3888888888888888</v>
      </c>
      <c r="Y26" s="52">
        <f t="shared" si="10"/>
        <v>0</v>
      </c>
      <c r="Z26" s="52">
        <f t="shared" si="11"/>
        <v>0.67777777777777781</v>
      </c>
      <c r="AA26" s="10" t="b">
        <f t="shared" si="1"/>
        <v>0</v>
      </c>
      <c r="AB26" s="10">
        <f t="shared" si="12"/>
        <v>1</v>
      </c>
      <c r="AC26" s="10">
        <f t="shared" si="13"/>
        <v>0</v>
      </c>
      <c r="AD26" s="9"/>
    </row>
    <row r="27" spans="1:30" ht="15" x14ac:dyDescent="0.25">
      <c r="A27" s="119">
        <v>16</v>
      </c>
      <c r="B27" s="85">
        <f t="shared" si="2"/>
        <v>27</v>
      </c>
      <c r="C27" s="86" t="str">
        <f t="shared" si="3"/>
        <v>138075</v>
      </c>
      <c r="D27" s="87" t="str">
        <f t="shared" si="4"/>
        <v>0101</v>
      </c>
      <c r="E27" s="88" t="s">
        <v>68</v>
      </c>
      <c r="F27" s="101"/>
      <c r="G27" s="89" t="s">
        <v>186</v>
      </c>
      <c r="H27" s="93"/>
      <c r="I27" s="14" t="s">
        <v>186</v>
      </c>
      <c r="J27" s="14" t="s">
        <v>186</v>
      </c>
      <c r="K27" s="14" t="s">
        <v>186</v>
      </c>
      <c r="L27" s="14" t="s">
        <v>186</v>
      </c>
      <c r="M27" s="14" t="s">
        <v>186</v>
      </c>
      <c r="N27" s="20">
        <f t="shared" si="0"/>
        <v>0</v>
      </c>
      <c r="O27" s="18" t="s">
        <v>186</v>
      </c>
      <c r="P27" s="18" t="s">
        <v>186</v>
      </c>
      <c r="Q27" s="18" t="s">
        <v>186</v>
      </c>
      <c r="R27" s="18" t="s">
        <v>186</v>
      </c>
      <c r="S27" s="18" t="s">
        <v>186</v>
      </c>
      <c r="T27" s="19">
        <f t="shared" si="5"/>
        <v>0</v>
      </c>
      <c r="U27" s="83" t="str">
        <f t="shared" si="6"/>
        <v>ГР</v>
      </c>
      <c r="V27" s="83" t="str">
        <f t="shared" si="7"/>
        <v>-</v>
      </c>
      <c r="W27" s="120" t="str">
        <f t="shared" si="8"/>
        <v>завышено</v>
      </c>
      <c r="X27" s="51">
        <f t="shared" si="9"/>
        <v>3.3888888888888888</v>
      </c>
      <c r="Y27" s="52">
        <f t="shared" si="10"/>
        <v>0</v>
      </c>
      <c r="Z27" s="52">
        <f t="shared" si="11"/>
        <v>0.67777777777777781</v>
      </c>
      <c r="AA27" s="10" t="b">
        <f t="shared" si="1"/>
        <v>0</v>
      </c>
      <c r="AB27" s="10">
        <f t="shared" si="12"/>
        <v>1</v>
      </c>
      <c r="AC27" s="10">
        <f t="shared" si="13"/>
        <v>0</v>
      </c>
      <c r="AD27" s="9"/>
    </row>
    <row r="28" spans="1:30" ht="15" x14ac:dyDescent="0.25">
      <c r="A28" s="119">
        <v>17</v>
      </c>
      <c r="B28" s="85">
        <f t="shared" si="2"/>
        <v>27</v>
      </c>
      <c r="C28" s="86" t="str">
        <f t="shared" si="3"/>
        <v>138075</v>
      </c>
      <c r="D28" s="87" t="str">
        <f t="shared" si="4"/>
        <v>0101</v>
      </c>
      <c r="E28" s="88" t="s">
        <v>69</v>
      </c>
      <c r="F28" s="101">
        <v>0</v>
      </c>
      <c r="G28" s="89" t="s">
        <v>191</v>
      </c>
      <c r="H28" s="93">
        <v>33</v>
      </c>
      <c r="I28" s="14">
        <v>1</v>
      </c>
      <c r="J28" s="14">
        <v>1</v>
      </c>
      <c r="K28" s="14">
        <v>1</v>
      </c>
      <c r="L28" s="14">
        <v>0</v>
      </c>
      <c r="M28" s="14">
        <v>0</v>
      </c>
      <c r="N28" s="20">
        <f t="shared" si="0"/>
        <v>3</v>
      </c>
      <c r="O28" s="18">
        <v>0</v>
      </c>
      <c r="P28" s="18">
        <v>1</v>
      </c>
      <c r="Q28" s="18">
        <v>1</v>
      </c>
      <c r="R28" s="18">
        <v>0</v>
      </c>
      <c r="S28" s="18">
        <v>1</v>
      </c>
      <c r="T28" s="19">
        <f t="shared" si="5"/>
        <v>3</v>
      </c>
      <c r="U28" s="83" t="str">
        <f t="shared" si="6"/>
        <v>ГР</v>
      </c>
      <c r="V28" s="83" t="str">
        <f t="shared" si="7"/>
        <v>-</v>
      </c>
      <c r="W28" s="120" t="str">
        <f t="shared" si="8"/>
        <v>завышено</v>
      </c>
      <c r="X28" s="51">
        <f t="shared" si="9"/>
        <v>3.3888888888888888</v>
      </c>
      <c r="Y28" s="52">
        <f t="shared" si="10"/>
        <v>0.6</v>
      </c>
      <c r="Z28" s="52">
        <f t="shared" si="11"/>
        <v>0.67777777777777781</v>
      </c>
      <c r="AA28" s="10" t="b">
        <f t="shared" si="1"/>
        <v>0</v>
      </c>
      <c r="AB28" s="10">
        <f t="shared" si="12"/>
        <v>1</v>
      </c>
      <c r="AC28" s="10">
        <f t="shared" si="13"/>
        <v>0</v>
      </c>
      <c r="AD28" s="9"/>
    </row>
    <row r="29" spans="1:30" ht="15" x14ac:dyDescent="0.25">
      <c r="A29" s="119">
        <v>18</v>
      </c>
      <c r="B29" s="85">
        <f t="shared" si="2"/>
        <v>27</v>
      </c>
      <c r="C29" s="86" t="str">
        <f t="shared" si="3"/>
        <v>138075</v>
      </c>
      <c r="D29" s="87" t="str">
        <f t="shared" si="4"/>
        <v>0101</v>
      </c>
      <c r="E29" s="88" t="s">
        <v>70</v>
      </c>
      <c r="F29" s="101">
        <v>0</v>
      </c>
      <c r="G29" s="89" t="s">
        <v>183</v>
      </c>
      <c r="H29" s="93">
        <v>30</v>
      </c>
      <c r="I29" s="14">
        <v>0</v>
      </c>
      <c r="J29" s="14">
        <v>1</v>
      </c>
      <c r="K29" s="14">
        <v>1</v>
      </c>
      <c r="L29" s="14">
        <v>1</v>
      </c>
      <c r="M29" s="14">
        <v>1</v>
      </c>
      <c r="N29" s="20">
        <f t="shared" si="0"/>
        <v>4</v>
      </c>
      <c r="O29" s="18">
        <v>0</v>
      </c>
      <c r="P29" s="18">
        <v>1</v>
      </c>
      <c r="Q29" s="18">
        <v>1</v>
      </c>
      <c r="R29" s="18">
        <v>1</v>
      </c>
      <c r="S29" s="18">
        <v>1</v>
      </c>
      <c r="T29" s="19">
        <f t="shared" si="5"/>
        <v>4</v>
      </c>
      <c r="U29" s="83" t="str">
        <f t="shared" si="6"/>
        <v>БУ</v>
      </c>
      <c r="V29" s="83" t="str">
        <f t="shared" si="7"/>
        <v>достиг</v>
      </c>
      <c r="W29" s="120" t="str">
        <f t="shared" si="8"/>
        <v>занижено</v>
      </c>
      <c r="X29" s="51">
        <f t="shared" si="9"/>
        <v>3.3888888888888888</v>
      </c>
      <c r="Y29" s="52">
        <f t="shared" si="10"/>
        <v>0.8</v>
      </c>
      <c r="Z29" s="52">
        <f t="shared" si="11"/>
        <v>0.67777777777777781</v>
      </c>
      <c r="AA29" s="10">
        <f t="shared" si="1"/>
        <v>1</v>
      </c>
      <c r="AB29" s="10">
        <f t="shared" si="12"/>
        <v>2</v>
      </c>
      <c r="AC29" s="10">
        <f t="shared" si="13"/>
        <v>0</v>
      </c>
      <c r="AD29" s="9"/>
    </row>
    <row r="30" spans="1:30" ht="15" x14ac:dyDescent="0.25">
      <c r="A30" s="119">
        <v>19</v>
      </c>
      <c r="B30" s="85">
        <f t="shared" si="2"/>
        <v>27</v>
      </c>
      <c r="C30" s="86" t="str">
        <f t="shared" si="3"/>
        <v>138075</v>
      </c>
      <c r="D30" s="87" t="str">
        <f t="shared" si="4"/>
        <v>0101</v>
      </c>
      <c r="E30" s="88" t="s">
        <v>71</v>
      </c>
      <c r="F30" s="101">
        <v>1</v>
      </c>
      <c r="G30" s="89" t="s">
        <v>182</v>
      </c>
      <c r="H30" s="93">
        <v>60</v>
      </c>
      <c r="I30" s="14">
        <v>1</v>
      </c>
      <c r="J30" s="14">
        <v>1</v>
      </c>
      <c r="K30" s="14">
        <v>1</v>
      </c>
      <c r="L30" s="14">
        <v>0</v>
      </c>
      <c r="M30" s="14">
        <v>1</v>
      </c>
      <c r="N30" s="20">
        <f t="shared" si="0"/>
        <v>4</v>
      </c>
      <c r="O30" s="18">
        <v>0</v>
      </c>
      <c r="P30" s="18">
        <v>1</v>
      </c>
      <c r="Q30" s="18">
        <v>1</v>
      </c>
      <c r="R30" s="18">
        <v>1</v>
      </c>
      <c r="S30" s="18">
        <v>1</v>
      </c>
      <c r="T30" s="19">
        <v>0</v>
      </c>
      <c r="U30" s="83" t="str">
        <f t="shared" si="6"/>
        <v>ГР</v>
      </c>
      <c r="V30" s="83" t="str">
        <f t="shared" si="7"/>
        <v>-</v>
      </c>
      <c r="W30" s="120" t="str">
        <f t="shared" si="8"/>
        <v>завышено</v>
      </c>
      <c r="X30" s="51">
        <f t="shared" si="9"/>
        <v>3.3888888888888888</v>
      </c>
      <c r="Y30" s="52">
        <f t="shared" si="10"/>
        <v>0.8</v>
      </c>
      <c r="Z30" s="52">
        <f t="shared" si="11"/>
        <v>0.67777777777777781</v>
      </c>
      <c r="AA30" s="10">
        <f t="shared" si="1"/>
        <v>2</v>
      </c>
      <c r="AB30" s="10">
        <f t="shared" si="12"/>
        <v>1</v>
      </c>
      <c r="AC30" s="10">
        <f t="shared" si="13"/>
        <v>0</v>
      </c>
      <c r="AD30" s="9"/>
    </row>
    <row r="31" spans="1:30" ht="15" x14ac:dyDescent="0.25">
      <c r="A31" s="119">
        <v>20</v>
      </c>
      <c r="B31" s="85">
        <f t="shared" si="2"/>
        <v>27</v>
      </c>
      <c r="C31" s="86" t="str">
        <f t="shared" si="3"/>
        <v>138075</v>
      </c>
      <c r="D31" s="87" t="str">
        <f t="shared" si="4"/>
        <v>0101</v>
      </c>
      <c r="E31" s="88" t="s">
        <v>72</v>
      </c>
      <c r="F31" s="101">
        <v>1</v>
      </c>
      <c r="G31" s="89" t="s">
        <v>193</v>
      </c>
      <c r="H31" s="93">
        <v>61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20">
        <f t="shared" si="0"/>
        <v>5</v>
      </c>
      <c r="O31" s="18">
        <v>0</v>
      </c>
      <c r="P31" s="18">
        <v>1</v>
      </c>
      <c r="Q31" s="18">
        <v>1</v>
      </c>
      <c r="R31" s="18">
        <v>1</v>
      </c>
      <c r="S31" s="18">
        <v>1</v>
      </c>
      <c r="T31" s="19">
        <f t="shared" si="5"/>
        <v>4</v>
      </c>
      <c r="U31" s="83" t="str">
        <f t="shared" si="6"/>
        <v>БУ</v>
      </c>
      <c r="V31" s="83" t="str">
        <f t="shared" si="7"/>
        <v>достиг</v>
      </c>
      <c r="W31" s="120" t="str">
        <f t="shared" si="8"/>
        <v>завышено</v>
      </c>
      <c r="X31" s="51">
        <f t="shared" si="9"/>
        <v>3.3888888888888888</v>
      </c>
      <c r="Y31" s="52">
        <f t="shared" si="10"/>
        <v>1</v>
      </c>
      <c r="Z31" s="52">
        <f t="shared" si="11"/>
        <v>0.67777777777777781</v>
      </c>
      <c r="AA31" s="10" t="b">
        <f t="shared" si="1"/>
        <v>0</v>
      </c>
      <c r="AB31" s="10">
        <f t="shared" si="12"/>
        <v>2</v>
      </c>
      <c r="AC31" s="10">
        <f t="shared" si="13"/>
        <v>0</v>
      </c>
      <c r="AD31" s="9"/>
    </row>
    <row r="32" spans="1:30" ht="15" x14ac:dyDescent="0.25">
      <c r="A32" s="119"/>
      <c r="B32" s="85"/>
      <c r="C32" s="86"/>
      <c r="D32" s="87"/>
      <c r="E32" s="88"/>
      <c r="F32" s="101"/>
      <c r="G32" s="89" t="s">
        <v>186</v>
      </c>
      <c r="H32" s="93" t="s">
        <v>186</v>
      </c>
      <c r="I32" s="14" t="s">
        <v>186</v>
      </c>
      <c r="J32" s="14" t="s">
        <v>186</v>
      </c>
      <c r="K32" s="14" t="s">
        <v>186</v>
      </c>
      <c r="L32" s="14" t="s">
        <v>186</v>
      </c>
      <c r="M32" s="14" t="s">
        <v>186</v>
      </c>
      <c r="N32" s="20" t="s">
        <v>186</v>
      </c>
      <c r="O32" s="18" t="s">
        <v>186</v>
      </c>
      <c r="P32" s="18" t="s">
        <v>186</v>
      </c>
      <c r="Q32" s="18" t="s">
        <v>186</v>
      </c>
      <c r="R32" s="18" t="s">
        <v>186</v>
      </c>
      <c r="S32" s="18" t="s">
        <v>186</v>
      </c>
      <c r="T32" s="19">
        <f t="shared" si="5"/>
        <v>0</v>
      </c>
      <c r="U32" s="83"/>
      <c r="V32" s="83"/>
      <c r="W32" s="120"/>
      <c r="X32" s="51">
        <f t="shared" si="9"/>
        <v>3.3888888888888888</v>
      </c>
      <c r="Y32" s="52" t="e">
        <f t="shared" si="10"/>
        <v>#VALUE!</v>
      </c>
      <c r="Z32" s="52">
        <f t="shared" si="11"/>
        <v>0.67777777777777781</v>
      </c>
      <c r="AA32" s="10" t="b">
        <f t="shared" si="1"/>
        <v>0</v>
      </c>
      <c r="AB32" s="10" t="b">
        <f t="shared" si="12"/>
        <v>0</v>
      </c>
      <c r="AC32" s="10">
        <f t="shared" si="13"/>
        <v>0</v>
      </c>
      <c r="AD32" s="9"/>
    </row>
    <row r="33" spans="1:30" ht="15" x14ac:dyDescent="0.25">
      <c r="A33" s="119"/>
      <c r="B33" s="85"/>
      <c r="C33" s="86"/>
      <c r="D33" s="87"/>
      <c r="E33" s="88"/>
      <c r="F33" s="101"/>
      <c r="G33" s="89" t="s">
        <v>186</v>
      </c>
      <c r="H33" s="93" t="s">
        <v>186</v>
      </c>
      <c r="I33" s="14" t="s">
        <v>186</v>
      </c>
      <c r="J33" s="14" t="s">
        <v>186</v>
      </c>
      <c r="K33" s="14" t="s">
        <v>186</v>
      </c>
      <c r="L33" s="14" t="s">
        <v>186</v>
      </c>
      <c r="M33" s="14" t="s">
        <v>186</v>
      </c>
      <c r="N33" s="20">
        <f t="shared" si="0"/>
        <v>0</v>
      </c>
      <c r="O33" s="18" t="s">
        <v>186</v>
      </c>
      <c r="P33" s="18" t="s">
        <v>186</v>
      </c>
      <c r="Q33" s="18" t="s">
        <v>186</v>
      </c>
      <c r="R33" s="18" t="s">
        <v>186</v>
      </c>
      <c r="S33" s="18" t="s">
        <v>186</v>
      </c>
      <c r="T33" s="19">
        <f t="shared" si="5"/>
        <v>0</v>
      </c>
      <c r="U33" s="83"/>
      <c r="V33" s="83"/>
      <c r="W33" s="120"/>
      <c r="X33" s="51">
        <f t="shared" si="9"/>
        <v>3.3888888888888888</v>
      </c>
      <c r="Y33" s="52">
        <f t="shared" si="10"/>
        <v>0</v>
      </c>
      <c r="Z33" s="52">
        <f t="shared" si="11"/>
        <v>0.67777777777777781</v>
      </c>
      <c r="AA33" s="10" t="b">
        <f t="shared" si="1"/>
        <v>0</v>
      </c>
      <c r="AB33" s="10" t="b">
        <f t="shared" si="12"/>
        <v>0</v>
      </c>
      <c r="AC33" s="10">
        <f t="shared" si="13"/>
        <v>0</v>
      </c>
      <c r="AD33" s="9"/>
    </row>
    <row r="34" spans="1:30" ht="15" x14ac:dyDescent="0.25">
      <c r="A34" s="119"/>
      <c r="B34" s="85"/>
      <c r="C34" s="86"/>
      <c r="D34" s="87"/>
      <c r="E34" s="88"/>
      <c r="F34" s="101"/>
      <c r="G34" s="89" t="s">
        <v>186</v>
      </c>
      <c r="H34" s="93" t="s">
        <v>186</v>
      </c>
      <c r="I34" s="14" t="s">
        <v>186</v>
      </c>
      <c r="J34" s="14" t="s">
        <v>186</v>
      </c>
      <c r="K34" s="14" t="s">
        <v>186</v>
      </c>
      <c r="L34" s="14" t="s">
        <v>186</v>
      </c>
      <c r="M34" s="14" t="s">
        <v>186</v>
      </c>
      <c r="N34" s="20">
        <f t="shared" si="0"/>
        <v>0</v>
      </c>
      <c r="O34" s="18" t="s">
        <v>186</v>
      </c>
      <c r="P34" s="18" t="s">
        <v>186</v>
      </c>
      <c r="Q34" s="18" t="s">
        <v>186</v>
      </c>
      <c r="R34" s="18" t="s">
        <v>186</v>
      </c>
      <c r="S34" s="18" t="s">
        <v>186</v>
      </c>
      <c r="T34" s="19">
        <f t="shared" si="5"/>
        <v>0</v>
      </c>
      <c r="U34" s="83"/>
      <c r="V34" s="83"/>
      <c r="W34" s="120"/>
      <c r="X34" s="51">
        <f t="shared" si="9"/>
        <v>3.3888888888888888</v>
      </c>
      <c r="Y34" s="52">
        <f t="shared" si="10"/>
        <v>0</v>
      </c>
      <c r="Z34" s="52">
        <f t="shared" si="11"/>
        <v>0.67777777777777781</v>
      </c>
      <c r="AA34" s="10" t="b">
        <f t="shared" si="1"/>
        <v>0</v>
      </c>
      <c r="AB34" s="10" t="b">
        <f t="shared" si="12"/>
        <v>0</v>
      </c>
      <c r="AC34" s="10">
        <f t="shared" si="13"/>
        <v>0</v>
      </c>
      <c r="AD34" s="9"/>
    </row>
    <row r="35" spans="1:30" ht="15" x14ac:dyDescent="0.25">
      <c r="A35" s="119"/>
      <c r="B35" s="85"/>
      <c r="C35" s="86"/>
      <c r="D35" s="87"/>
      <c r="E35" s="88"/>
      <c r="F35" s="101"/>
      <c r="G35" s="89" t="s">
        <v>186</v>
      </c>
      <c r="H35" s="93" t="s">
        <v>186</v>
      </c>
      <c r="I35" s="14" t="s">
        <v>186</v>
      </c>
      <c r="J35" s="14" t="s">
        <v>186</v>
      </c>
      <c r="K35" s="14" t="s">
        <v>186</v>
      </c>
      <c r="L35" s="14" t="s">
        <v>186</v>
      </c>
      <c r="M35" s="14" t="s">
        <v>186</v>
      </c>
      <c r="N35" s="20">
        <f t="shared" si="0"/>
        <v>0</v>
      </c>
      <c r="O35" s="18" t="s">
        <v>186</v>
      </c>
      <c r="P35" s="18" t="s">
        <v>186</v>
      </c>
      <c r="Q35" s="18" t="s">
        <v>186</v>
      </c>
      <c r="R35" s="18" t="s">
        <v>186</v>
      </c>
      <c r="S35" s="18" t="s">
        <v>186</v>
      </c>
      <c r="T35" s="19">
        <f t="shared" si="5"/>
        <v>0</v>
      </c>
      <c r="U35" s="83"/>
      <c r="V35" s="83"/>
      <c r="W35" s="120"/>
      <c r="X35" s="51">
        <f t="shared" si="9"/>
        <v>3.3888888888888888</v>
      </c>
      <c r="Y35" s="52">
        <f t="shared" si="10"/>
        <v>0</v>
      </c>
      <c r="Z35" s="52">
        <f t="shared" si="11"/>
        <v>0.67777777777777781</v>
      </c>
      <c r="AA35" s="10" t="b">
        <f t="shared" si="1"/>
        <v>0</v>
      </c>
      <c r="AB35" s="10" t="b">
        <f t="shared" si="12"/>
        <v>0</v>
      </c>
      <c r="AC35" s="10">
        <f t="shared" si="13"/>
        <v>0</v>
      </c>
      <c r="AD35" s="9"/>
    </row>
    <row r="36" spans="1:30" ht="15" x14ac:dyDescent="0.25">
      <c r="A36" s="119"/>
      <c r="B36" s="85"/>
      <c r="C36" s="86"/>
      <c r="D36" s="87"/>
      <c r="E36" s="88"/>
      <c r="F36" s="107"/>
      <c r="G36" s="108" t="s">
        <v>186</v>
      </c>
      <c r="H36" s="109" t="s">
        <v>186</v>
      </c>
      <c r="I36" s="110" t="s">
        <v>186</v>
      </c>
      <c r="J36" s="110" t="s">
        <v>186</v>
      </c>
      <c r="K36" s="110" t="s">
        <v>186</v>
      </c>
      <c r="L36" s="110" t="s">
        <v>187</v>
      </c>
      <c r="M36" s="110" t="s">
        <v>186</v>
      </c>
      <c r="N36" s="111">
        <f t="shared" si="0"/>
        <v>0</v>
      </c>
      <c r="O36" s="112" t="s">
        <v>186</v>
      </c>
      <c r="P36" s="112" t="s">
        <v>186</v>
      </c>
      <c r="Q36" s="112" t="s">
        <v>186</v>
      </c>
      <c r="R36" s="112" t="s">
        <v>186</v>
      </c>
      <c r="S36" s="112" t="s">
        <v>186</v>
      </c>
      <c r="T36" s="113">
        <f t="shared" si="5"/>
        <v>0</v>
      </c>
      <c r="U36" s="83"/>
      <c r="V36" s="83"/>
      <c r="W36" s="120"/>
      <c r="X36" s="51">
        <f t="shared" si="9"/>
        <v>3.3888888888888888</v>
      </c>
      <c r="Y36" s="52">
        <f t="shared" si="10"/>
        <v>0</v>
      </c>
      <c r="Z36" s="52">
        <f t="shared" si="11"/>
        <v>0.67777777777777781</v>
      </c>
      <c r="AA36" s="10" t="b">
        <f t="shared" si="1"/>
        <v>0</v>
      </c>
      <c r="AB36" s="10" t="b">
        <f t="shared" si="12"/>
        <v>0</v>
      </c>
      <c r="AC36" s="10">
        <f t="shared" si="13"/>
        <v>0</v>
      </c>
      <c r="AD36" s="9"/>
    </row>
    <row r="37" spans="1:30" ht="15" x14ac:dyDescent="0.25">
      <c r="A37" s="119"/>
      <c r="B37" s="85"/>
      <c r="C37" s="86"/>
      <c r="D37" s="87"/>
      <c r="E37" s="106"/>
      <c r="F37" s="101"/>
      <c r="G37" s="89"/>
      <c r="H37" s="93"/>
      <c r="I37" s="14"/>
      <c r="J37" s="14"/>
      <c r="K37" s="14"/>
      <c r="L37" s="14"/>
      <c r="M37" s="14"/>
      <c r="N37" s="111">
        <f t="shared" si="0"/>
        <v>0</v>
      </c>
      <c r="O37" s="18"/>
      <c r="P37" s="18"/>
      <c r="Q37" s="18"/>
      <c r="R37" s="18"/>
      <c r="S37" s="18"/>
      <c r="T37" s="113">
        <f t="shared" si="5"/>
        <v>0</v>
      </c>
      <c r="U37" s="138"/>
      <c r="V37" s="83"/>
      <c r="W37" s="139"/>
      <c r="X37" s="51">
        <f t="shared" si="9"/>
        <v>3.3888888888888888</v>
      </c>
      <c r="Y37" s="52">
        <f t="shared" si="10"/>
        <v>0</v>
      </c>
      <c r="Z37" s="52">
        <f t="shared" si="11"/>
        <v>0.67777777777777781</v>
      </c>
      <c r="AA37" s="10" t="b">
        <f t="shared" si="1"/>
        <v>0</v>
      </c>
      <c r="AB37" s="10" t="b">
        <f t="shared" si="12"/>
        <v>0</v>
      </c>
      <c r="AC37" s="10">
        <f t="shared" si="13"/>
        <v>0</v>
      </c>
      <c r="AD37" s="9"/>
    </row>
    <row r="38" spans="1:30" ht="15" x14ac:dyDescent="0.25">
      <c r="A38" s="119"/>
      <c r="B38" s="85"/>
      <c r="C38" s="86"/>
      <c r="D38" s="87"/>
      <c r="E38" s="106"/>
      <c r="F38" s="101"/>
      <c r="G38" s="89"/>
      <c r="H38" s="93"/>
      <c r="I38" s="14"/>
      <c r="J38" s="14"/>
      <c r="K38" s="14"/>
      <c r="L38" s="14"/>
      <c r="M38" s="14"/>
      <c r="N38" s="20">
        <f t="shared" si="0"/>
        <v>0</v>
      </c>
      <c r="O38" s="18"/>
      <c r="P38" s="18"/>
      <c r="Q38" s="18"/>
      <c r="R38" s="18"/>
      <c r="S38" s="18"/>
      <c r="T38" s="19">
        <f t="shared" si="5"/>
        <v>0</v>
      </c>
      <c r="U38" s="138"/>
      <c r="V38" s="83"/>
      <c r="W38" s="120"/>
      <c r="X38" s="51">
        <f t="shared" si="9"/>
        <v>3.3888888888888888</v>
      </c>
      <c r="Y38" s="52">
        <f t="shared" si="10"/>
        <v>0</v>
      </c>
      <c r="Z38" s="52">
        <f t="shared" si="11"/>
        <v>0.67777777777777781</v>
      </c>
      <c r="AA38" s="10" t="b">
        <f t="shared" si="1"/>
        <v>0</v>
      </c>
      <c r="AB38" s="10" t="b">
        <f t="shared" si="12"/>
        <v>0</v>
      </c>
      <c r="AC38" s="10">
        <f t="shared" si="13"/>
        <v>0</v>
      </c>
      <c r="AD38" s="9"/>
    </row>
    <row r="39" spans="1:30" ht="15" x14ac:dyDescent="0.25">
      <c r="A39" s="119"/>
      <c r="B39" s="85"/>
      <c r="C39" s="86"/>
      <c r="D39" s="87"/>
      <c r="E39" s="106"/>
      <c r="F39" s="101"/>
      <c r="G39" s="89"/>
      <c r="H39" s="93"/>
      <c r="I39" s="14"/>
      <c r="J39" s="14"/>
      <c r="K39" s="14"/>
      <c r="L39" s="14"/>
      <c r="M39" s="14"/>
      <c r="N39" s="20">
        <f t="shared" si="0"/>
        <v>0</v>
      </c>
      <c r="O39" s="18"/>
      <c r="P39" s="18"/>
      <c r="Q39" s="18"/>
      <c r="R39" s="18"/>
      <c r="S39" s="18"/>
      <c r="T39" s="19">
        <f t="shared" si="5"/>
        <v>0</v>
      </c>
      <c r="U39" s="138"/>
      <c r="V39" s="83"/>
      <c r="W39" s="120"/>
      <c r="X39" s="51">
        <f t="shared" si="9"/>
        <v>3.3888888888888888</v>
      </c>
      <c r="Y39" s="52">
        <f t="shared" si="10"/>
        <v>0</v>
      </c>
      <c r="Z39" s="52">
        <f t="shared" si="11"/>
        <v>0.67777777777777781</v>
      </c>
      <c r="AA39" s="10" t="b">
        <f t="shared" si="1"/>
        <v>0</v>
      </c>
      <c r="AB39" s="10" t="b">
        <f t="shared" si="12"/>
        <v>0</v>
      </c>
      <c r="AC39" s="10">
        <f t="shared" si="13"/>
        <v>0</v>
      </c>
      <c r="AD39" s="9"/>
    </row>
    <row r="40" spans="1:30" ht="15" x14ac:dyDescent="0.25">
      <c r="A40" s="119"/>
      <c r="B40" s="85"/>
      <c r="C40" s="86"/>
      <c r="D40" s="87"/>
      <c r="E40" s="88"/>
      <c r="F40" s="101"/>
      <c r="G40" s="89"/>
      <c r="H40" s="93"/>
      <c r="I40" s="14"/>
      <c r="J40" s="14"/>
      <c r="K40" s="14"/>
      <c r="L40" s="14"/>
      <c r="M40" s="14"/>
      <c r="N40" s="20">
        <f t="shared" si="0"/>
        <v>0</v>
      </c>
      <c r="O40" s="18"/>
      <c r="P40" s="18"/>
      <c r="Q40" s="18"/>
      <c r="R40" s="18"/>
      <c r="S40" s="18"/>
      <c r="T40" s="19">
        <f t="shared" si="5"/>
        <v>0</v>
      </c>
      <c r="U40" s="83"/>
      <c r="V40" s="83"/>
      <c r="W40" s="120"/>
      <c r="X40" s="51">
        <f t="shared" si="9"/>
        <v>3.3888888888888888</v>
      </c>
      <c r="Y40" s="52">
        <f t="shared" si="10"/>
        <v>0</v>
      </c>
      <c r="Z40" s="52">
        <f t="shared" si="11"/>
        <v>0.67777777777777781</v>
      </c>
      <c r="AA40" s="10" t="b">
        <f t="shared" si="1"/>
        <v>0</v>
      </c>
      <c r="AB40" s="10" t="b">
        <f t="shared" si="12"/>
        <v>0</v>
      </c>
      <c r="AC40" s="10">
        <f t="shared" si="13"/>
        <v>0</v>
      </c>
      <c r="AD40" s="9"/>
    </row>
    <row r="41" spans="1:30" ht="15" x14ac:dyDescent="0.25">
      <c r="A41" s="119"/>
      <c r="B41" s="85"/>
      <c r="C41" s="86"/>
      <c r="D41" s="87"/>
      <c r="E41" s="88"/>
      <c r="F41" s="101"/>
      <c r="G41" s="89"/>
      <c r="H41" s="93"/>
      <c r="I41" s="14"/>
      <c r="J41" s="14"/>
      <c r="K41" s="14"/>
      <c r="L41" s="14"/>
      <c r="M41" s="14"/>
      <c r="N41" s="20">
        <f t="shared" si="0"/>
        <v>0</v>
      </c>
      <c r="O41" s="18"/>
      <c r="P41" s="18"/>
      <c r="Q41" s="18"/>
      <c r="R41" s="18"/>
      <c r="S41" s="18"/>
      <c r="T41" s="19">
        <f t="shared" si="5"/>
        <v>0</v>
      </c>
      <c r="U41" s="83"/>
      <c r="V41" s="83"/>
      <c r="W41" s="120"/>
      <c r="X41" s="51">
        <f t="shared" si="9"/>
        <v>3.3888888888888888</v>
      </c>
      <c r="Y41" s="52">
        <f t="shared" si="10"/>
        <v>0</v>
      </c>
      <c r="Z41" s="52">
        <f t="shared" si="11"/>
        <v>0.67777777777777781</v>
      </c>
      <c r="AA41" s="10" t="b">
        <f t="shared" si="1"/>
        <v>0</v>
      </c>
      <c r="AB41" s="10" t="b">
        <f t="shared" si="12"/>
        <v>0</v>
      </c>
      <c r="AC41" s="10">
        <f t="shared" si="13"/>
        <v>0</v>
      </c>
      <c r="AD41" s="9"/>
    </row>
    <row r="42" spans="1:30" ht="15" x14ac:dyDescent="0.25">
      <c r="A42" s="119"/>
      <c r="B42" s="85"/>
      <c r="C42" s="86"/>
      <c r="D42" s="87"/>
      <c r="E42" s="88"/>
      <c r="F42" s="101"/>
      <c r="G42" s="89"/>
      <c r="H42" s="93"/>
      <c r="I42" s="14"/>
      <c r="J42" s="14"/>
      <c r="K42" s="14"/>
      <c r="L42" s="14"/>
      <c r="M42" s="14"/>
      <c r="N42" s="20">
        <f t="shared" si="0"/>
        <v>0</v>
      </c>
      <c r="O42" s="18"/>
      <c r="P42" s="18"/>
      <c r="Q42" s="18"/>
      <c r="R42" s="18"/>
      <c r="S42" s="18"/>
      <c r="T42" s="19">
        <f t="shared" si="5"/>
        <v>0</v>
      </c>
      <c r="U42" s="83"/>
      <c r="V42" s="83"/>
      <c r="W42" s="120"/>
      <c r="X42" s="51">
        <f t="shared" si="9"/>
        <v>3.3888888888888888</v>
      </c>
      <c r="Y42" s="52">
        <f t="shared" si="10"/>
        <v>0</v>
      </c>
      <c r="Z42" s="52">
        <f t="shared" si="11"/>
        <v>0.67777777777777781</v>
      </c>
      <c r="AA42" s="10" t="b">
        <f t="shared" si="1"/>
        <v>0</v>
      </c>
      <c r="AB42" s="10" t="b">
        <f t="shared" si="12"/>
        <v>0</v>
      </c>
      <c r="AC42" s="10">
        <f t="shared" si="13"/>
        <v>0</v>
      </c>
      <c r="AD42" s="9"/>
    </row>
    <row r="43" spans="1:30" ht="15" x14ac:dyDescent="0.25">
      <c r="A43" s="119"/>
      <c r="B43" s="85"/>
      <c r="C43" s="86"/>
      <c r="D43" s="87"/>
      <c r="E43" s="88"/>
      <c r="F43" s="101"/>
      <c r="G43" s="89"/>
      <c r="H43" s="93"/>
      <c r="I43" s="14"/>
      <c r="J43" s="14"/>
      <c r="K43" s="14"/>
      <c r="L43" s="14"/>
      <c r="M43" s="14"/>
      <c r="N43" s="20">
        <f t="shared" si="0"/>
        <v>0</v>
      </c>
      <c r="O43" s="18"/>
      <c r="P43" s="18"/>
      <c r="Q43" s="18"/>
      <c r="R43" s="18"/>
      <c r="S43" s="18"/>
      <c r="T43" s="19">
        <f t="shared" si="5"/>
        <v>0</v>
      </c>
      <c r="U43" s="83"/>
      <c r="V43" s="83"/>
      <c r="W43" s="120"/>
      <c r="X43" s="51">
        <f t="shared" si="9"/>
        <v>3.3888888888888888</v>
      </c>
      <c r="Y43" s="52">
        <f t="shared" si="10"/>
        <v>0</v>
      </c>
      <c r="Z43" s="52">
        <f t="shared" si="11"/>
        <v>0.67777777777777781</v>
      </c>
      <c r="AA43" s="10" t="b">
        <f t="shared" si="1"/>
        <v>0</v>
      </c>
      <c r="AB43" s="10" t="b">
        <f t="shared" si="12"/>
        <v>0</v>
      </c>
      <c r="AC43" s="10">
        <f t="shared" si="13"/>
        <v>0</v>
      </c>
      <c r="AD43" s="9"/>
    </row>
    <row r="44" spans="1:30" ht="15" x14ac:dyDescent="0.25">
      <c r="A44" s="119"/>
      <c r="B44" s="85"/>
      <c r="C44" s="86"/>
      <c r="D44" s="87"/>
      <c r="E44" s="88"/>
      <c r="F44" s="101"/>
      <c r="G44" s="89"/>
      <c r="H44" s="93"/>
      <c r="I44" s="14"/>
      <c r="J44" s="14"/>
      <c r="K44" s="14"/>
      <c r="L44" s="14"/>
      <c r="M44" s="14"/>
      <c r="N44" s="20">
        <f>SUM(I44:M44)</f>
        <v>0</v>
      </c>
      <c r="O44" s="18"/>
      <c r="P44" s="18"/>
      <c r="Q44" s="18"/>
      <c r="R44" s="18"/>
      <c r="S44" s="18"/>
      <c r="T44" s="19">
        <f t="shared" si="5"/>
        <v>0</v>
      </c>
      <c r="U44" s="83"/>
      <c r="V44" s="83"/>
      <c r="W44" s="120"/>
      <c r="X44" s="51">
        <f t="shared" si="9"/>
        <v>3.3888888888888888</v>
      </c>
      <c r="Y44" s="52">
        <f>N44/5</f>
        <v>0</v>
      </c>
      <c r="Z44" s="52">
        <f t="shared" si="11"/>
        <v>0.67777777777777781</v>
      </c>
      <c r="AA44" s="10" t="b">
        <f t="shared" si="1"/>
        <v>0</v>
      </c>
      <c r="AB44" s="10" t="b">
        <f t="shared" si="12"/>
        <v>0</v>
      </c>
      <c r="AC44" s="10">
        <f t="shared" si="13"/>
        <v>0</v>
      </c>
      <c r="AD44" s="9"/>
    </row>
    <row r="45" spans="1:30" ht="15" x14ac:dyDescent="0.25">
      <c r="A45" s="119"/>
      <c r="B45" s="85"/>
      <c r="C45" s="86"/>
      <c r="D45" s="87"/>
      <c r="E45" s="88"/>
      <c r="F45" s="101"/>
      <c r="G45" s="89"/>
      <c r="H45" s="93"/>
      <c r="I45" s="14"/>
      <c r="J45" s="14"/>
      <c r="K45" s="14"/>
      <c r="L45" s="14"/>
      <c r="M45" s="14"/>
      <c r="N45" s="20">
        <f t="shared" si="0"/>
        <v>0</v>
      </c>
      <c r="O45" s="18"/>
      <c r="P45" s="18"/>
      <c r="Q45" s="18"/>
      <c r="R45" s="18"/>
      <c r="S45" s="18"/>
      <c r="T45" s="19">
        <f t="shared" si="5"/>
        <v>0</v>
      </c>
      <c r="U45" s="83"/>
      <c r="V45" s="83"/>
      <c r="W45" s="120"/>
      <c r="X45" s="51">
        <f t="shared" si="9"/>
        <v>3.3888888888888888</v>
      </c>
      <c r="Y45" s="52">
        <f t="shared" si="10"/>
        <v>0</v>
      </c>
      <c r="Z45" s="52">
        <f t="shared" si="11"/>
        <v>0.67777777777777781</v>
      </c>
      <c r="AA45" s="10" t="b">
        <f t="shared" si="1"/>
        <v>0</v>
      </c>
      <c r="AB45" s="10" t="b">
        <f t="shared" si="12"/>
        <v>0</v>
      </c>
      <c r="AC45" s="10">
        <f t="shared" si="13"/>
        <v>0</v>
      </c>
      <c r="AD45" s="9"/>
    </row>
    <row r="46" spans="1:30" ht="15" x14ac:dyDescent="0.25">
      <c r="A46" s="119"/>
      <c r="B46" s="85"/>
      <c r="C46" s="86"/>
      <c r="D46" s="87"/>
      <c r="E46" s="88"/>
      <c r="F46" s="101"/>
      <c r="G46" s="89"/>
      <c r="H46" s="93"/>
      <c r="I46" s="14"/>
      <c r="J46" s="14"/>
      <c r="K46" s="14"/>
      <c r="L46" s="14"/>
      <c r="M46" s="14"/>
      <c r="N46" s="20">
        <f t="shared" si="0"/>
        <v>0</v>
      </c>
      <c r="O46" s="18"/>
      <c r="P46" s="18"/>
      <c r="Q46" s="18"/>
      <c r="R46" s="18"/>
      <c r="S46" s="18"/>
      <c r="T46" s="19">
        <f t="shared" si="5"/>
        <v>0</v>
      </c>
      <c r="U46" s="83"/>
      <c r="V46" s="83"/>
      <c r="W46" s="120"/>
      <c r="X46" s="51">
        <f t="shared" si="9"/>
        <v>3.3888888888888888</v>
      </c>
      <c r="Y46" s="52">
        <f t="shared" si="10"/>
        <v>0</v>
      </c>
      <c r="Z46" s="52">
        <f t="shared" si="11"/>
        <v>0.67777777777777781</v>
      </c>
      <c r="AA46" s="10" t="b">
        <f t="shared" si="1"/>
        <v>0</v>
      </c>
      <c r="AB46" s="10" t="b">
        <f t="shared" si="12"/>
        <v>0</v>
      </c>
      <c r="AC46" s="10">
        <f t="shared" si="13"/>
        <v>0</v>
      </c>
      <c r="AD46" s="9"/>
    </row>
    <row r="47" spans="1:30" ht="18" customHeight="1" x14ac:dyDescent="0.2">
      <c r="A47" s="289" t="s">
        <v>4</v>
      </c>
      <c r="B47" s="290"/>
      <c r="C47" s="290"/>
      <c r="D47" s="290"/>
      <c r="E47" s="290"/>
      <c r="F47" s="290"/>
      <c r="G47" s="290"/>
      <c r="H47" s="290"/>
      <c r="I47" s="23">
        <f>COUNTIF(I12:I46,1)</f>
        <v>15</v>
      </c>
      <c r="J47" s="23">
        <f>COUNTIF(J12:J46,1)</f>
        <v>12</v>
      </c>
      <c r="K47" s="23">
        <f>COUNTIF(K12:K46,1)</f>
        <v>14</v>
      </c>
      <c r="L47" s="23">
        <f>COUNTIF(L12:L46,1)</f>
        <v>7</v>
      </c>
      <c r="M47" s="23">
        <f>COUNTIF(M12:M46,1)</f>
        <v>13</v>
      </c>
      <c r="N47" s="54">
        <f>SUM(N12:N46)</f>
        <v>61</v>
      </c>
      <c r="O47" s="23">
        <f>COUNTIF(O12:O46,1)</f>
        <v>1</v>
      </c>
      <c r="P47" s="23">
        <f>COUNTIF(P12:P46,1)</f>
        <v>18</v>
      </c>
      <c r="Q47" s="23">
        <f>COUNTIF(Q12:Q46,1)</f>
        <v>15</v>
      </c>
      <c r="R47" s="23">
        <f>COUNTIF(R12:R46,1)</f>
        <v>12</v>
      </c>
      <c r="S47" s="23">
        <f>COUNTIF(S12:S46,1)</f>
        <v>13</v>
      </c>
      <c r="T47" s="90">
        <f>SUM(T12:T46)</f>
        <v>55</v>
      </c>
      <c r="U47" s="23">
        <f>COUNTIF(U12:U46,"ГР")</f>
        <v>12</v>
      </c>
      <c r="V47" s="23">
        <f>COUNTIF(V12:V46,"-")</f>
        <v>13</v>
      </c>
      <c r="W47" s="121">
        <f>COUNTIF(W12:W46,"совпадение")</f>
        <v>6</v>
      </c>
      <c r="X47" s="311"/>
      <c r="Y47" s="311"/>
      <c r="Z47" s="104"/>
      <c r="AA47" s="105"/>
      <c r="AB47" s="105"/>
      <c r="AC47" s="10">
        <f>SUM(AC12:AC46)</f>
        <v>1</v>
      </c>
      <c r="AD47" s="9"/>
    </row>
    <row r="48" spans="1:30" ht="17.25" customHeight="1" x14ac:dyDescent="0.2">
      <c r="A48" s="289" t="s">
        <v>30</v>
      </c>
      <c r="B48" s="290"/>
      <c r="C48" s="290"/>
      <c r="D48" s="290"/>
      <c r="E48" s="290"/>
      <c r="F48" s="290"/>
      <c r="G48" s="290"/>
      <c r="H48" s="290"/>
      <c r="I48" s="23">
        <f>COUNTIF(I12:I46,0)</f>
        <v>3</v>
      </c>
      <c r="J48" s="23">
        <f>COUNTIF(J12:J46,0)</f>
        <v>5</v>
      </c>
      <c r="K48" s="23">
        <f>COUNTIF(K12:K46,0)</f>
        <v>3</v>
      </c>
      <c r="L48" s="23">
        <f>COUNTIF(L12:L46,0)</f>
        <v>9</v>
      </c>
      <c r="M48" s="23">
        <f>COUNTIF(M12:M46,0)</f>
        <v>4</v>
      </c>
      <c r="N48" s="53">
        <f>SUM(N12:N46)/I50</f>
        <v>3.3888888888888888</v>
      </c>
      <c r="O48" s="23">
        <f>COUNTIF(O12:O46,0)</f>
        <v>14</v>
      </c>
      <c r="P48" s="23">
        <f>COUNTIF(P12:P46,0)</f>
        <v>0</v>
      </c>
      <c r="Q48" s="23">
        <f>COUNTIF(Q12:Q46,0)</f>
        <v>1</v>
      </c>
      <c r="R48" s="23">
        <f>COUNTIF(R12:R46,0)</f>
        <v>5</v>
      </c>
      <c r="S48" s="23">
        <f>COUNTIF(S12:S46,0)</f>
        <v>1</v>
      </c>
      <c r="T48" s="53">
        <f>SUM(T12:T46)/I50</f>
        <v>3.0555555555555554</v>
      </c>
      <c r="U48" s="23">
        <f>COUNTIF(U12:U46,"БУ")</f>
        <v>8</v>
      </c>
      <c r="V48" s="23">
        <f>COUNTIF(V12:V46,"достиг")</f>
        <v>7</v>
      </c>
      <c r="W48" s="121">
        <f>COUNTIF(W12:W46,"занижено")</f>
        <v>1</v>
      </c>
      <c r="X48" s="311"/>
      <c r="Y48" s="311"/>
      <c r="Z48" s="102"/>
      <c r="AA48" s="103"/>
      <c r="AB48" s="103"/>
      <c r="AC48" s="10"/>
      <c r="AD48" s="9"/>
    </row>
    <row r="49" spans="1:30" ht="18" customHeight="1" x14ac:dyDescent="0.2">
      <c r="A49" s="309" t="s">
        <v>31</v>
      </c>
      <c r="B49" s="310"/>
      <c r="C49" s="310"/>
      <c r="D49" s="310"/>
      <c r="E49" s="310"/>
      <c r="F49" s="310"/>
      <c r="G49" s="310"/>
      <c r="H49" s="310"/>
      <c r="I49" s="23">
        <f>COUNTIF(I12:I46,"х")</f>
        <v>0</v>
      </c>
      <c r="J49" s="23">
        <f>COUNTIF(J12:J46,"х")</f>
        <v>0</v>
      </c>
      <c r="K49" s="23">
        <f>COUNTIF(K12:K46,"х")</f>
        <v>0</v>
      </c>
      <c r="L49" s="23">
        <f>COUNTIF(L12:L46,"х")</f>
        <v>0</v>
      </c>
      <c r="M49" s="23">
        <f>COUNTIF(M12:M46,"х")</f>
        <v>0</v>
      </c>
      <c r="N49" s="54">
        <f>5*I50</f>
        <v>90</v>
      </c>
      <c r="O49" s="23">
        <f>COUNTIF(O12:O46,"х")</f>
        <v>0</v>
      </c>
      <c r="P49" s="23">
        <f>COUNTIF(P12:P46,"х")</f>
        <v>0</v>
      </c>
      <c r="Q49" s="23">
        <f>COUNTIF(Q12:Q46,"х")</f>
        <v>0</v>
      </c>
      <c r="R49" s="23">
        <f>COUNTIF(R12:R46,"х")</f>
        <v>0</v>
      </c>
      <c r="S49" s="23">
        <f>COUNTIF(S12:S46,"х")</f>
        <v>0</v>
      </c>
      <c r="T49" s="61">
        <f>5*I50</f>
        <v>90</v>
      </c>
      <c r="U49" s="23">
        <f>COUNTIF(U12:U46,"отсутствует")</f>
        <v>0</v>
      </c>
      <c r="V49" s="23">
        <f>COUNTIF(AC12:AC46,"1")</f>
        <v>1</v>
      </c>
      <c r="W49" s="121">
        <f>COUNTIF(W12:W46,"завышено")</f>
        <v>13</v>
      </c>
      <c r="X49" s="311"/>
      <c r="Y49" s="311"/>
      <c r="Z49" s="102"/>
      <c r="AA49" s="103"/>
      <c r="AB49" s="103"/>
      <c r="AC49" s="10"/>
      <c r="AD49" s="9"/>
    </row>
    <row r="50" spans="1:30" ht="21.75" customHeight="1" x14ac:dyDescent="0.2">
      <c r="A50" s="309" t="s">
        <v>44</v>
      </c>
      <c r="B50" s="310"/>
      <c r="C50" s="310"/>
      <c r="D50" s="310"/>
      <c r="E50" s="310"/>
      <c r="F50" s="310"/>
      <c r="G50" s="310"/>
      <c r="H50" s="310"/>
      <c r="I50" s="98">
        <f>I47+I48+I49</f>
        <v>18</v>
      </c>
      <c r="J50" s="99"/>
      <c r="K50" s="99"/>
      <c r="L50" s="99"/>
      <c r="M50" s="100"/>
      <c r="N50" s="117">
        <f>N47/N49</f>
        <v>0.67777777777777781</v>
      </c>
      <c r="O50" s="276"/>
      <c r="P50" s="276"/>
      <c r="Q50" s="276"/>
      <c r="R50" s="276"/>
      <c r="S50" s="276"/>
      <c r="T50" s="117">
        <f>T47/T49</f>
        <v>0.61111111111111116</v>
      </c>
      <c r="U50" s="312" t="s">
        <v>96</v>
      </c>
      <c r="V50" s="313"/>
      <c r="W50" s="314"/>
      <c r="X50" s="9"/>
      <c r="AA50" s="9"/>
      <c r="AB50" s="9"/>
      <c r="AC50" s="9"/>
      <c r="AD50" s="9"/>
    </row>
    <row r="51" spans="1:30" ht="22.5" customHeight="1" x14ac:dyDescent="0.2">
      <c r="A51" s="309" t="s">
        <v>42</v>
      </c>
      <c r="B51" s="310"/>
      <c r="C51" s="310"/>
      <c r="D51" s="310"/>
      <c r="E51" s="310"/>
      <c r="F51" s="310"/>
      <c r="G51" s="310"/>
      <c r="H51" s="310"/>
      <c r="I51" s="94">
        <f>I47/$I$50</f>
        <v>0.83333333333333337</v>
      </c>
      <c r="J51" s="94">
        <f>J47/$I$50</f>
        <v>0.66666666666666663</v>
      </c>
      <c r="K51" s="94">
        <f>K47/$I$50</f>
        <v>0.77777777777777779</v>
      </c>
      <c r="L51" s="94">
        <f>L47/$I$50</f>
        <v>0.3888888888888889</v>
      </c>
      <c r="M51" s="94">
        <f>M47/$I$50</f>
        <v>0.72222222222222221</v>
      </c>
      <c r="N51" s="95"/>
      <c r="O51" s="94">
        <f>O47/$I$50</f>
        <v>5.5555555555555552E-2</v>
      </c>
      <c r="P51" s="94">
        <f>P47/$I$50</f>
        <v>1</v>
      </c>
      <c r="Q51" s="94">
        <f>Q47/$I$50</f>
        <v>0.83333333333333337</v>
      </c>
      <c r="R51" s="94">
        <f>R47/$I$50</f>
        <v>0.66666666666666663</v>
      </c>
      <c r="S51" s="94">
        <f>S47/$I$50</f>
        <v>0.72222222222222221</v>
      </c>
      <c r="T51" s="96"/>
      <c r="U51" s="312"/>
      <c r="V51" s="313"/>
      <c r="W51" s="314"/>
      <c r="X51" s="50"/>
      <c r="Y51" s="50"/>
      <c r="Z51" s="50"/>
      <c r="AA51" s="50"/>
      <c r="AB51" s="50"/>
    </row>
    <row r="52" spans="1:30" ht="20.25" customHeight="1" x14ac:dyDescent="0.2">
      <c r="A52" s="286" t="s">
        <v>133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8"/>
    </row>
    <row r="53" spans="1:30" ht="20.25" customHeight="1" x14ac:dyDescent="0.2">
      <c r="A53" s="295" t="s">
        <v>132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7"/>
    </row>
    <row r="54" spans="1:30" ht="18" customHeight="1" x14ac:dyDescent="0.2">
      <c r="A54" s="292" t="s">
        <v>131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4"/>
    </row>
    <row r="55" spans="1:30" ht="18" customHeight="1" x14ac:dyDescent="0.2">
      <c r="A55" s="286" t="s">
        <v>134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8"/>
    </row>
    <row r="56" spans="1:30" ht="18" customHeight="1" x14ac:dyDescent="0.2">
      <c r="A56" s="280" t="s">
        <v>135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2"/>
    </row>
    <row r="57" spans="1:30" ht="18" customHeight="1" x14ac:dyDescent="0.2">
      <c r="A57" s="277" t="s">
        <v>136</v>
      </c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9"/>
    </row>
    <row r="58" spans="1:30" ht="20.25" customHeight="1" x14ac:dyDescent="0.2">
      <c r="A58" s="286" t="s">
        <v>6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8"/>
    </row>
    <row r="59" spans="1:30" ht="18" customHeight="1" x14ac:dyDescent="0.2">
      <c r="A59" s="283" t="s">
        <v>129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5"/>
    </row>
    <row r="60" spans="1:30" ht="22.5" customHeight="1" thickBot="1" x14ac:dyDescent="0.25">
      <c r="A60" s="273" t="s">
        <v>130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5"/>
    </row>
    <row r="61" spans="1:30" x14ac:dyDescent="0.2">
      <c r="H61" s="45">
        <f t="shared" ref="H61:M61" si="14">$N$50*100</f>
        <v>67.777777777777786</v>
      </c>
      <c r="I61" s="45">
        <f t="shared" si="14"/>
        <v>67.777777777777786</v>
      </c>
      <c r="J61" s="45">
        <f t="shared" si="14"/>
        <v>67.777777777777786</v>
      </c>
      <c r="K61" s="45">
        <f t="shared" si="14"/>
        <v>67.777777777777786</v>
      </c>
      <c r="L61" s="45">
        <f t="shared" si="14"/>
        <v>67.777777777777786</v>
      </c>
      <c r="M61" s="45">
        <f t="shared" si="14"/>
        <v>67.777777777777786</v>
      </c>
      <c r="O61" s="49">
        <f>$T$50*100</f>
        <v>61.111111111111114</v>
      </c>
      <c r="P61" s="49">
        <f>$T$50*100</f>
        <v>61.111111111111114</v>
      </c>
      <c r="Q61" s="49">
        <f>$T$50*100</f>
        <v>61.111111111111114</v>
      </c>
      <c r="R61" s="49">
        <f>$T$50*100</f>
        <v>61.111111111111114</v>
      </c>
      <c r="S61" s="49">
        <f>$T$50*100</f>
        <v>61.111111111111114</v>
      </c>
    </row>
  </sheetData>
  <sheetProtection selectLockedCells="1" selectUnlockedCells="1"/>
  <dataConsolidate/>
  <mergeCells count="48">
    <mergeCell ref="A53:W53"/>
    <mergeCell ref="AA11:AB11"/>
    <mergeCell ref="B10:E11"/>
    <mergeCell ref="U10:U11"/>
    <mergeCell ref="A10:A11"/>
    <mergeCell ref="W10:W11"/>
    <mergeCell ref="Y11:Z11"/>
    <mergeCell ref="T10:T11"/>
    <mergeCell ref="A51:H51"/>
    <mergeCell ref="A50:H50"/>
    <mergeCell ref="X47:Y47"/>
    <mergeCell ref="X48:Y48"/>
    <mergeCell ref="X49:Y49"/>
    <mergeCell ref="U50:W51"/>
    <mergeCell ref="A49:H49"/>
    <mergeCell ref="A48:H48"/>
    <mergeCell ref="A9:U9"/>
    <mergeCell ref="N10:N11"/>
    <mergeCell ref="M6:T6"/>
    <mergeCell ref="A60:W60"/>
    <mergeCell ref="O50:S50"/>
    <mergeCell ref="A57:W57"/>
    <mergeCell ref="A56:W56"/>
    <mergeCell ref="V10:V11"/>
    <mergeCell ref="A59:W59"/>
    <mergeCell ref="A58:W58"/>
    <mergeCell ref="A55:W55"/>
    <mergeCell ref="A47:H47"/>
    <mergeCell ref="M7:T7"/>
    <mergeCell ref="O10:S10"/>
    <mergeCell ref="A52:W52"/>
    <mergeCell ref="A54:W54"/>
    <mergeCell ref="F10:F11"/>
    <mergeCell ref="G10:G11"/>
    <mergeCell ref="H10:M10"/>
    <mergeCell ref="A1:T1"/>
    <mergeCell ref="A3:L3"/>
    <mergeCell ref="M3:T3"/>
    <mergeCell ref="A8:L8"/>
    <mergeCell ref="M8:T8"/>
    <mergeCell ref="A2:L2"/>
    <mergeCell ref="M2:T2"/>
    <mergeCell ref="A4:L4"/>
    <mergeCell ref="M4:T4"/>
    <mergeCell ref="A7:L7"/>
    <mergeCell ref="A5:L5"/>
    <mergeCell ref="M5:T5"/>
    <mergeCell ref="A6:L6"/>
  </mergeCells>
  <dataValidations count="3">
    <dataValidation type="list" allowBlank="1" showErrorMessage="1" sqref="M5:T5">
      <formula1>"Общеобразовательная школа,Гимназия,Лицей,Школа с углубленным изучением отдельных предметов"</formula1>
    </dataValidation>
    <dataValidation type="list" allowBlank="1" showErrorMessage="1" sqref="M4:T4">
      <formula1>"Начальная школа,Основная школа,Средняя школа"</formula1>
    </dataValidation>
    <dataValidation type="list" allowBlank="1" showErrorMessage="1" sqref="M2:T2">
      <formula1>"Амурский,Аяно-Майский,Бикинский,Ванинский,Верхнебуреинский,Вяземский,Комсомольский,им.Лазо,Нанайский,Николаевский,Охотский,им.П.Осипенко,Советско-Гаванский,Солнечный,Тугуро-Чумиканский,Ульчский,Хабаровский,г.Комсомольск-на-Амуре,г.Хабаровск"</formula1>
    </dataValidation>
  </dataValidations>
  <pageMargins left="0.16" right="0.16" top="0.98402777777777772" bottom="0.98402777777777772" header="0.51180555555555551" footer="0.51180555555555551"/>
  <pageSetup paperSize="9" scale="75" firstPageNumber="0" orientation="landscape" r:id="rId1"/>
  <headerFooter alignWithMargins="0"/>
  <ignoredErrors>
    <ignoredError sqref="N12:N15 N16:N31 I47:M49 P47:P49 N46 N38:N45 N33:N36" formulaRange="1"/>
    <ignoredError sqref="N47:N48" formula="1" formulaRange="1"/>
    <ignoredError sqref="U6 E12:E31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7"/>
  <sheetViews>
    <sheetView zoomScaleNormal="100" workbookViewId="0">
      <selection activeCell="B22" sqref="B22"/>
    </sheetView>
  </sheetViews>
  <sheetFormatPr defaultRowHeight="12.75" x14ac:dyDescent="0.2"/>
  <cols>
    <col min="1" max="1" width="5.42578125" customWidth="1"/>
    <col min="2" max="2" width="85.5703125" customWidth="1"/>
    <col min="3" max="3" width="7.5703125" customWidth="1"/>
    <col min="5" max="5" width="14.140625" customWidth="1"/>
    <col min="6" max="6" width="16.85546875" customWidth="1"/>
    <col min="7" max="7" width="7.140625" customWidth="1"/>
  </cols>
  <sheetData>
    <row r="1" spans="1:7" ht="18.75" customHeight="1" thickBot="1" x14ac:dyDescent="0.35">
      <c r="A1" s="218" t="s">
        <v>24</v>
      </c>
      <c r="B1" s="218"/>
      <c r="C1" s="218"/>
      <c r="D1" s="218"/>
      <c r="E1" s="218"/>
      <c r="F1" s="218"/>
      <c r="G1" s="218"/>
    </row>
    <row r="2" spans="1:7" x14ac:dyDescent="0.2">
      <c r="A2" s="318" t="s">
        <v>90</v>
      </c>
      <c r="B2" s="319"/>
      <c r="C2" s="315" t="str">
        <f>'Ф2-Г1'!M6</f>
        <v>1А</v>
      </c>
      <c r="D2" s="316"/>
      <c r="E2" s="316"/>
      <c r="F2" s="316"/>
      <c r="G2" s="317"/>
    </row>
    <row r="3" spans="1:7" ht="13.5" thickBot="1" x14ac:dyDescent="0.25">
      <c r="A3" s="219" t="s">
        <v>123</v>
      </c>
      <c r="B3" s="220"/>
      <c r="C3" s="220"/>
      <c r="D3" s="220"/>
      <c r="E3" s="220"/>
      <c r="F3" s="220"/>
      <c r="G3" s="221"/>
    </row>
    <row r="4" spans="1:7" ht="15" customHeight="1" x14ac:dyDescent="0.2">
      <c r="A4" s="222" t="s">
        <v>3</v>
      </c>
      <c r="B4" s="40" t="s">
        <v>88</v>
      </c>
      <c r="C4" s="224" t="s">
        <v>8</v>
      </c>
      <c r="D4" s="224"/>
      <c r="E4" s="224"/>
      <c r="F4" s="224" t="s">
        <v>9</v>
      </c>
      <c r="G4" s="226" t="s">
        <v>10</v>
      </c>
    </row>
    <row r="5" spans="1:7" ht="29.25" customHeight="1" x14ac:dyDescent="0.2">
      <c r="A5" s="223"/>
      <c r="B5" s="38" t="s">
        <v>89</v>
      </c>
      <c r="C5" s="38" t="s">
        <v>11</v>
      </c>
      <c r="D5" s="38" t="s">
        <v>12</v>
      </c>
      <c r="E5" s="38" t="s">
        <v>13</v>
      </c>
      <c r="F5" s="225"/>
      <c r="G5" s="227"/>
    </row>
    <row r="6" spans="1:7" ht="27.75" customHeight="1" x14ac:dyDescent="0.2">
      <c r="A6" s="3">
        <v>1</v>
      </c>
      <c r="B6" s="4" t="s">
        <v>112</v>
      </c>
      <c r="C6" s="212" t="s">
        <v>125</v>
      </c>
      <c r="D6" s="213"/>
      <c r="E6" s="213"/>
      <c r="F6" s="213"/>
      <c r="G6" s="214"/>
    </row>
    <row r="7" spans="1:7" ht="23.25" customHeight="1" x14ac:dyDescent="0.2">
      <c r="A7" s="3">
        <v>2</v>
      </c>
      <c r="B7" s="4" t="s">
        <v>113</v>
      </c>
      <c r="C7" s="8">
        <f>'Ф2-Г1'!I47/'Ф2-Г1'!I50</f>
        <v>0.83333333333333337</v>
      </c>
      <c r="D7" s="8">
        <f>'Ф2-Г1'!I48/'Ф2-Г1'!I50</f>
        <v>0.16666666666666666</v>
      </c>
      <c r="E7" s="8">
        <f>'Ф2-Г1'!I49/'Ф2-Г1'!I50</f>
        <v>0</v>
      </c>
      <c r="F7" s="5" t="s">
        <v>14</v>
      </c>
      <c r="G7" s="6">
        <v>1</v>
      </c>
    </row>
    <row r="8" spans="1:7" ht="24.75" customHeight="1" x14ac:dyDescent="0.2">
      <c r="A8" s="3">
        <v>3</v>
      </c>
      <c r="B8" s="4" t="s">
        <v>114</v>
      </c>
      <c r="C8" s="8">
        <f>'Ф2-Г1'!J47/'Ф2-Г1'!I50</f>
        <v>0.66666666666666663</v>
      </c>
      <c r="D8" s="8">
        <f>'Ф2-Г1'!J48/'Ф2-Г1'!I50</f>
        <v>0.27777777777777779</v>
      </c>
      <c r="E8" s="8">
        <f>'Ф2-Г1'!J49/'Ф2-Г1'!I50</f>
        <v>0</v>
      </c>
      <c r="F8" s="5" t="s">
        <v>14</v>
      </c>
      <c r="G8" s="6">
        <v>1</v>
      </c>
    </row>
    <row r="9" spans="1:7" ht="27.75" customHeight="1" x14ac:dyDescent="0.2">
      <c r="A9" s="3">
        <v>4</v>
      </c>
      <c r="B9" s="4" t="s">
        <v>115</v>
      </c>
      <c r="C9" s="8">
        <f>'Ф2-Г1'!K47/'Ф2-Г1'!I50</f>
        <v>0.77777777777777779</v>
      </c>
      <c r="D9" s="8">
        <f>'Ф2-Г1'!K48/'Ф2-Г1'!I50</f>
        <v>0.16666666666666666</v>
      </c>
      <c r="E9" s="8">
        <f>'Ф2-Г1'!K49/'Ф2-Г1'!I50</f>
        <v>0</v>
      </c>
      <c r="F9" s="5" t="s">
        <v>14</v>
      </c>
      <c r="G9" s="6">
        <v>1</v>
      </c>
    </row>
    <row r="10" spans="1:7" ht="40.5" customHeight="1" x14ac:dyDescent="0.2">
      <c r="A10" s="3">
        <v>5</v>
      </c>
      <c r="B10" s="4" t="s">
        <v>116</v>
      </c>
      <c r="C10" s="8">
        <f>'Ф2-Г1'!L47/'Ф2-Г1'!I50</f>
        <v>0.3888888888888889</v>
      </c>
      <c r="D10" s="8">
        <f>'Ф2-Г1'!L48/'Ф2-Г1'!I50</f>
        <v>0.5</v>
      </c>
      <c r="E10" s="8">
        <f>'Ф2-Г1'!L49/'Ф2-Г1'!I50</f>
        <v>0</v>
      </c>
      <c r="F10" s="5" t="s">
        <v>14</v>
      </c>
      <c r="G10" s="6">
        <v>1</v>
      </c>
    </row>
    <row r="11" spans="1:7" ht="33" customHeight="1" x14ac:dyDescent="0.2">
      <c r="A11" s="3">
        <v>6</v>
      </c>
      <c r="B11" s="4" t="s">
        <v>117</v>
      </c>
      <c r="C11" s="8">
        <f>'Ф2-Г1'!M47/'Ф2-Г1'!I50</f>
        <v>0.72222222222222221</v>
      </c>
      <c r="D11" s="8">
        <f>'Ф2-Г1'!M48/'Ф2-Г1'!I50</f>
        <v>0.22222222222222221</v>
      </c>
      <c r="E11" s="8">
        <f>'Ф2-Г1'!M49/'Ф2-Г1'!I50</f>
        <v>0</v>
      </c>
      <c r="F11" s="5" t="s">
        <v>14</v>
      </c>
      <c r="G11" s="6">
        <v>1</v>
      </c>
    </row>
    <row r="12" spans="1:7" ht="14.25" customHeight="1" x14ac:dyDescent="0.2">
      <c r="A12" s="215" t="s">
        <v>91</v>
      </c>
      <c r="B12" s="216"/>
      <c r="C12" s="216"/>
      <c r="D12" s="216"/>
      <c r="E12" s="216"/>
      <c r="F12" s="216"/>
      <c r="G12" s="217"/>
    </row>
    <row r="13" spans="1:7" ht="24" customHeight="1" x14ac:dyDescent="0.2">
      <c r="A13" s="3">
        <v>7</v>
      </c>
      <c r="B13" s="4" t="s">
        <v>118</v>
      </c>
      <c r="C13" s="42">
        <f>'Ф2-Г1'!O47/'Ф2-Г1'!I50</f>
        <v>5.5555555555555552E-2</v>
      </c>
      <c r="D13" s="42">
        <f>'Ф2-Г1'!O48/'Ф2-Г1'!$I$50</f>
        <v>0.77777777777777779</v>
      </c>
      <c r="E13" s="42">
        <f>'Ф2-Г1'!O$49/'Ф2-Г1'!$I$50</f>
        <v>0</v>
      </c>
      <c r="F13" s="39" t="s">
        <v>15</v>
      </c>
      <c r="G13" s="41">
        <v>1</v>
      </c>
    </row>
    <row r="14" spans="1:7" ht="30" customHeight="1" x14ac:dyDescent="0.2">
      <c r="A14" s="3">
        <v>8</v>
      </c>
      <c r="B14" s="4" t="s">
        <v>119</v>
      </c>
      <c r="C14" s="43">
        <f>'Ф2-Г1'!P47/'Ф2-Г1'!I50</f>
        <v>1</v>
      </c>
      <c r="D14" s="42">
        <f>'Ф2-Г1'!P48/'Ф2-Г1'!$I$50</f>
        <v>0</v>
      </c>
      <c r="E14" s="42">
        <f>'Ф2-Г1'!P49/'Ф2-Г1'!$I$50</f>
        <v>0</v>
      </c>
      <c r="F14" s="39" t="s">
        <v>15</v>
      </c>
      <c r="G14" s="41">
        <v>1</v>
      </c>
    </row>
    <row r="15" spans="1:7" ht="17.25" customHeight="1" x14ac:dyDescent="0.2">
      <c r="A15" s="3">
        <v>9</v>
      </c>
      <c r="B15" s="64" t="s">
        <v>120</v>
      </c>
      <c r="C15" s="43">
        <f>'Ф2-Г1'!Q47/'Ф2-Г1'!I50</f>
        <v>0.83333333333333337</v>
      </c>
      <c r="D15" s="42">
        <f>'Ф2-Г1'!Q48/'Ф2-Г1'!$I$50</f>
        <v>5.5555555555555552E-2</v>
      </c>
      <c r="E15" s="42">
        <f>'Ф2-Г1'!Q49/'Ф2-Г1'!$I$50</f>
        <v>0</v>
      </c>
      <c r="F15" s="39" t="s">
        <v>15</v>
      </c>
      <c r="G15" s="41">
        <v>1</v>
      </c>
    </row>
    <row r="16" spans="1:7" ht="18.75" customHeight="1" x14ac:dyDescent="0.2">
      <c r="A16" s="3">
        <v>10</v>
      </c>
      <c r="B16" s="64" t="s">
        <v>121</v>
      </c>
      <c r="C16" s="43">
        <f>'Ф2-Г1'!R47/'Ф2-Г1'!I50</f>
        <v>0.66666666666666663</v>
      </c>
      <c r="D16" s="42">
        <f>'Ф2-Г1'!R48/'Ф2-Г1'!$I$50</f>
        <v>0.27777777777777779</v>
      </c>
      <c r="E16" s="42">
        <f>'Ф2-Г1'!R49/'Ф2-Г1'!$I$50</f>
        <v>0</v>
      </c>
      <c r="F16" s="39" t="s">
        <v>15</v>
      </c>
      <c r="G16" s="41">
        <v>1</v>
      </c>
    </row>
    <row r="17" spans="1:7" ht="18" customHeight="1" x14ac:dyDescent="0.2">
      <c r="A17" s="3">
        <v>11</v>
      </c>
      <c r="B17" s="64" t="s">
        <v>122</v>
      </c>
      <c r="C17" s="43">
        <f>'Ф2-Г1'!S47/'Ф2-Г1'!I50</f>
        <v>0.72222222222222221</v>
      </c>
      <c r="D17" s="42">
        <f>'Ф2-Г1'!S48/'Ф2-Г1'!$I$50</f>
        <v>5.5555555555555552E-2</v>
      </c>
      <c r="E17" s="42">
        <f>'Ф2-Г1'!S49/'Ф2-Г1'!$I$50</f>
        <v>0</v>
      </c>
      <c r="F17" s="39" t="s">
        <v>15</v>
      </c>
      <c r="G17" s="41">
        <v>1</v>
      </c>
    </row>
  </sheetData>
  <sheetProtection selectLockedCells="1" selectUnlockedCells="1"/>
  <mergeCells count="10">
    <mergeCell ref="A12:G12"/>
    <mergeCell ref="A3:G3"/>
    <mergeCell ref="C6:G6"/>
    <mergeCell ref="C2:G2"/>
    <mergeCell ref="A2:B2"/>
    <mergeCell ref="A1:G1"/>
    <mergeCell ref="A4:A5"/>
    <mergeCell ref="C4:E4"/>
    <mergeCell ref="F4:F5"/>
    <mergeCell ref="G4:G5"/>
  </mergeCells>
  <pageMargins left="0.74791666666666667" right="0.74791666666666667" top="0.98402777777777772" bottom="0.98402777777777772" header="0.51180555555555551" footer="0.51180555555555551"/>
  <pageSetup paperSize="9" scale="85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10"/>
  <sheetViews>
    <sheetView zoomScaleNormal="100" zoomScalePageLayoutView="90" workbookViewId="0">
      <selection activeCell="U9" sqref="U9"/>
    </sheetView>
  </sheetViews>
  <sheetFormatPr defaultRowHeight="12.75" x14ac:dyDescent="0.2"/>
  <cols>
    <col min="1" max="1" width="25.42578125" customWidth="1"/>
    <col min="2" max="3" width="5.5703125" hidden="1" customWidth="1"/>
    <col min="4" max="4" width="5.5703125" customWidth="1"/>
    <col min="5" max="5" width="6.42578125" customWidth="1"/>
    <col min="6" max="6" width="5.5703125" customWidth="1"/>
    <col min="7" max="7" width="6.42578125" customWidth="1"/>
    <col min="8" max="8" width="5.5703125" customWidth="1"/>
    <col min="9" max="9" width="6.42578125" customWidth="1"/>
    <col min="10" max="10" width="5.5703125" customWidth="1"/>
    <col min="11" max="11" width="6.85546875" customWidth="1"/>
    <col min="12" max="12" width="5.5703125" customWidth="1"/>
    <col min="13" max="13" width="6.5703125" customWidth="1"/>
    <col min="14" max="14" width="7" customWidth="1"/>
    <col min="15" max="19" width="5.5703125" customWidth="1"/>
    <col min="20" max="20" width="20.7109375" customWidth="1"/>
    <col min="21" max="30" width="6.42578125" customWidth="1"/>
  </cols>
  <sheetData>
    <row r="1" spans="1:30" ht="18" customHeight="1" x14ac:dyDescent="0.25">
      <c r="A1" s="208" t="s">
        <v>110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71" t="str">
        <f>'Ф2-Г1'!M6</f>
        <v>1А</v>
      </c>
      <c r="O1" s="63"/>
      <c r="P1" s="63"/>
      <c r="Q1" s="63"/>
      <c r="R1" s="63"/>
      <c r="S1" s="63"/>
    </row>
    <row r="2" spans="1:30" ht="13.5" thickBot="1" x14ac:dyDescent="0.25"/>
    <row r="3" spans="1:30" x14ac:dyDescent="0.2">
      <c r="A3" s="320"/>
      <c r="B3" s="233" t="s">
        <v>97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65"/>
      <c r="O3" s="65"/>
      <c r="P3" s="65"/>
      <c r="Q3" s="65"/>
      <c r="R3" s="65"/>
      <c r="S3" s="65"/>
      <c r="T3" s="235"/>
      <c r="U3" s="237" t="s">
        <v>98</v>
      </c>
      <c r="V3" s="233"/>
      <c r="W3" s="233"/>
      <c r="X3" s="233"/>
      <c r="Y3" s="233"/>
      <c r="Z3" s="233"/>
      <c r="AA3" s="233"/>
      <c r="AB3" s="233"/>
      <c r="AC3" s="233"/>
      <c r="AD3" s="234"/>
    </row>
    <row r="4" spans="1:30" x14ac:dyDescent="0.2">
      <c r="A4" s="321"/>
      <c r="B4" s="238">
        <v>1</v>
      </c>
      <c r="C4" s="239"/>
      <c r="D4" s="240">
        <v>2</v>
      </c>
      <c r="E4" s="241"/>
      <c r="F4" s="240">
        <v>3</v>
      </c>
      <c r="G4" s="241"/>
      <c r="H4" s="240">
        <v>4</v>
      </c>
      <c r="I4" s="241"/>
      <c r="J4" s="240">
        <v>5</v>
      </c>
      <c r="K4" s="241"/>
      <c r="L4" s="240">
        <v>6</v>
      </c>
      <c r="M4" s="242"/>
      <c r="N4" s="66"/>
      <c r="O4" s="66"/>
      <c r="P4" s="66"/>
      <c r="Q4" s="66"/>
      <c r="R4" s="66"/>
      <c r="S4" s="66"/>
      <c r="T4" s="236"/>
      <c r="U4" s="243">
        <v>7</v>
      </c>
      <c r="V4" s="244"/>
      <c r="W4" s="245">
        <v>8</v>
      </c>
      <c r="X4" s="246"/>
      <c r="Y4" s="228">
        <v>9</v>
      </c>
      <c r="Z4" s="244"/>
      <c r="AA4" s="245">
        <v>10</v>
      </c>
      <c r="AB4" s="246"/>
      <c r="AC4" s="228">
        <v>11</v>
      </c>
      <c r="AD4" s="229"/>
    </row>
    <row r="5" spans="1:30" x14ac:dyDescent="0.2">
      <c r="A5" s="321"/>
      <c r="B5" s="92"/>
      <c r="C5" s="75"/>
      <c r="D5" s="15" t="s">
        <v>23</v>
      </c>
      <c r="E5" s="15" t="s">
        <v>5</v>
      </c>
      <c r="F5" s="15" t="s">
        <v>23</v>
      </c>
      <c r="G5" s="15" t="s">
        <v>5</v>
      </c>
      <c r="H5" s="15" t="s">
        <v>23</v>
      </c>
      <c r="I5" s="15" t="s">
        <v>5</v>
      </c>
      <c r="J5" s="15" t="s">
        <v>23</v>
      </c>
      <c r="K5" s="15" t="s">
        <v>5</v>
      </c>
      <c r="L5" s="15" t="s">
        <v>23</v>
      </c>
      <c r="M5" s="69" t="s">
        <v>5</v>
      </c>
      <c r="N5" s="67"/>
      <c r="O5" s="67"/>
      <c r="P5" s="67"/>
      <c r="Q5" s="67"/>
      <c r="R5" s="67"/>
      <c r="S5" s="67"/>
      <c r="T5" s="236"/>
      <c r="U5" s="72" t="s">
        <v>23</v>
      </c>
      <c r="V5" s="30" t="s">
        <v>5</v>
      </c>
      <c r="W5" s="30" t="s">
        <v>23</v>
      </c>
      <c r="X5" s="30" t="s">
        <v>5</v>
      </c>
      <c r="Y5" s="30" t="s">
        <v>23</v>
      </c>
      <c r="Z5" s="30" t="s">
        <v>5</v>
      </c>
      <c r="AA5" s="30" t="s">
        <v>23</v>
      </c>
      <c r="AB5" s="30" t="s">
        <v>5</v>
      </c>
      <c r="AC5" s="30" t="s">
        <v>23</v>
      </c>
      <c r="AD5" s="31" t="s">
        <v>5</v>
      </c>
    </row>
    <row r="6" spans="1:30" ht="26.25" customHeight="1" x14ac:dyDescent="0.2">
      <c r="A6" s="32" t="s">
        <v>27</v>
      </c>
      <c r="B6" s="76"/>
      <c r="C6" s="77"/>
      <c r="D6" s="144">
        <f>'Ф2-Г1'!I47</f>
        <v>15</v>
      </c>
      <c r="E6" s="33">
        <f>D6/'Ф2-Г1'!$I$50*100</f>
        <v>83.333333333333343</v>
      </c>
      <c r="F6" s="144">
        <f>'Ф2-Г1'!J47</f>
        <v>12</v>
      </c>
      <c r="G6" s="33">
        <f>F6/'Ф2-Г1'!$I$50*100</f>
        <v>66.666666666666657</v>
      </c>
      <c r="H6" s="144">
        <f>'Ф2-Г1'!K47</f>
        <v>14</v>
      </c>
      <c r="I6" s="33">
        <f>H6/'Ф2-Г1'!$I$50*100</f>
        <v>77.777777777777786</v>
      </c>
      <c r="J6" s="144">
        <f>'Ф2-Г1'!L47</f>
        <v>7</v>
      </c>
      <c r="K6" s="33">
        <f>J6/'Ф2-Г1'!$I$50*100</f>
        <v>38.888888888888893</v>
      </c>
      <c r="L6" s="144">
        <f>'Ф2-Г1'!M47</f>
        <v>13</v>
      </c>
      <c r="M6" s="70">
        <f>L6/'Ф2-Г1'!$I$50*100</f>
        <v>72.222222222222214</v>
      </c>
      <c r="N6" s="68"/>
      <c r="O6" s="68"/>
      <c r="P6" s="68"/>
      <c r="Q6" s="68"/>
      <c r="R6" s="68"/>
      <c r="S6" s="68"/>
      <c r="T6" s="32" t="s">
        <v>27</v>
      </c>
      <c r="U6" s="73">
        <f>'Ф2-Г1'!O47</f>
        <v>1</v>
      </c>
      <c r="V6" s="46">
        <f>U6/'Ф2-Г1'!$I$50*100</f>
        <v>5.5555555555555554</v>
      </c>
      <c r="W6" s="143">
        <f>'Ф2-Г1'!P47</f>
        <v>18</v>
      </c>
      <c r="X6" s="46">
        <f>W6/'Ф2-Г1'!$I$50*100</f>
        <v>100</v>
      </c>
      <c r="Y6" s="143">
        <f>'Ф2-Г1'!Q47</f>
        <v>15</v>
      </c>
      <c r="Z6" s="46">
        <f>Y6/'Ф2-Г1'!$I$50*100</f>
        <v>83.333333333333343</v>
      </c>
      <c r="AA6" s="143">
        <f>'Ф2-Г1'!R47</f>
        <v>12</v>
      </c>
      <c r="AB6" s="46">
        <f>AA6/'Ф2-Г1'!$I$50*100</f>
        <v>66.666666666666657</v>
      </c>
      <c r="AC6" s="143">
        <f>'Ф2-Г1'!S47</f>
        <v>13</v>
      </c>
      <c r="AD6" s="48">
        <f>AC6/'Ф2-Г1'!$I$50*100</f>
        <v>72.222222222222214</v>
      </c>
    </row>
    <row r="7" spans="1:30" ht="26.25" customHeight="1" x14ac:dyDescent="0.2">
      <c r="A7" s="32" t="s">
        <v>29</v>
      </c>
      <c r="B7" s="76"/>
      <c r="C7" s="77"/>
      <c r="D7" s="144">
        <f>'Ф2-Г1'!I48</f>
        <v>3</v>
      </c>
      <c r="E7" s="33">
        <f>D7/'Ф2-Г1'!$I$50*100</f>
        <v>16.666666666666664</v>
      </c>
      <c r="F7" s="144">
        <f>'Ф2-Г1'!J48</f>
        <v>5</v>
      </c>
      <c r="G7" s="33">
        <f>F7/'Ф2-Г1'!$I$50*100</f>
        <v>27.777777777777779</v>
      </c>
      <c r="H7" s="144">
        <f>'Ф2-Г1'!K48</f>
        <v>3</v>
      </c>
      <c r="I7" s="33">
        <f>H7/'Ф2-Г1'!$I$50*100</f>
        <v>16.666666666666664</v>
      </c>
      <c r="J7" s="144">
        <f>'Ф2-Г1'!L48</f>
        <v>9</v>
      </c>
      <c r="K7" s="33">
        <f>J7/'Ф2-Г1'!$I$50*100</f>
        <v>50</v>
      </c>
      <c r="L7" s="144">
        <f>'Ф2-Г1'!M48</f>
        <v>4</v>
      </c>
      <c r="M7" s="70">
        <f>L7/'Ф2-Г1'!$I$50*100</f>
        <v>22.222222222222221</v>
      </c>
      <c r="N7" s="68"/>
      <c r="O7" s="68"/>
      <c r="P7" s="68"/>
      <c r="Q7" s="68"/>
      <c r="R7" s="68"/>
      <c r="S7" s="68"/>
      <c r="T7" s="32" t="s">
        <v>29</v>
      </c>
      <c r="U7" s="73">
        <f>'Ф2-Г1'!O48</f>
        <v>14</v>
      </c>
      <c r="V7" s="46">
        <f>U7/'Ф2-Г1'!$I$50*100</f>
        <v>77.777777777777786</v>
      </c>
      <c r="W7" s="143">
        <f>'Ф2-Г1'!P48</f>
        <v>0</v>
      </c>
      <c r="X7" s="46">
        <f>W7/'Ф2-Г1'!$I$50*100</f>
        <v>0</v>
      </c>
      <c r="Y7" s="143">
        <f>'Ф2-Г1'!Q48</f>
        <v>1</v>
      </c>
      <c r="Z7" s="46">
        <f>Y7/'Ф2-Г1'!$I$50*100</f>
        <v>5.5555555555555554</v>
      </c>
      <c r="AA7" s="143">
        <f>'Ф2-Г1'!R48</f>
        <v>5</v>
      </c>
      <c r="AB7" s="46">
        <f>AA7/'Ф2-Г1'!$I$50*100</f>
        <v>27.777777777777779</v>
      </c>
      <c r="AC7" s="143">
        <f>'Ф2-Г1'!S48</f>
        <v>1</v>
      </c>
      <c r="AD7" s="48">
        <f>AC7/'Ф2-Г1'!$I$50*100</f>
        <v>5.5555555555555554</v>
      </c>
    </row>
    <row r="8" spans="1:30" ht="26.25" customHeight="1" x14ac:dyDescent="0.2">
      <c r="A8" s="32" t="s">
        <v>28</v>
      </c>
      <c r="B8" s="76"/>
      <c r="C8" s="77"/>
      <c r="D8" s="144">
        <f>'Ф2-Г1'!I49</f>
        <v>0</v>
      </c>
      <c r="E8" s="33">
        <f>D8/'Ф2-Г1'!$I$50*100</f>
        <v>0</v>
      </c>
      <c r="F8" s="144">
        <f>'Ф2-Г1'!J49</f>
        <v>0</v>
      </c>
      <c r="G8" s="33">
        <f>F8/'Ф2-Г1'!$I$50*100</f>
        <v>0</v>
      </c>
      <c r="H8" s="144">
        <f>'Ф2-Г1'!K49</f>
        <v>0</v>
      </c>
      <c r="I8" s="33">
        <f>H8/'Ф2-Г1'!$I$50*100</f>
        <v>0</v>
      </c>
      <c r="J8" s="144">
        <f>'Ф2-Г1'!L49</f>
        <v>0</v>
      </c>
      <c r="K8" s="33">
        <f>J8/'Ф2-Г1'!$I$50*100</f>
        <v>0</v>
      </c>
      <c r="L8" s="144">
        <f>'Ф2-Г1'!M49</f>
        <v>0</v>
      </c>
      <c r="M8" s="70">
        <f>L8/'Ф2-Г1'!$I$50*100</f>
        <v>0</v>
      </c>
      <c r="N8" s="68"/>
      <c r="O8" s="68"/>
      <c r="P8" s="68"/>
      <c r="Q8" s="68"/>
      <c r="R8" s="68"/>
      <c r="S8" s="68"/>
      <c r="T8" s="32" t="s">
        <v>28</v>
      </c>
      <c r="U8" s="73">
        <f>'Ф2-Г1'!O49</f>
        <v>0</v>
      </c>
      <c r="V8" s="46">
        <f>U8/'Ф2-Г1'!$I$50*100</f>
        <v>0</v>
      </c>
      <c r="W8" s="143">
        <f>'Ф2-Г1'!P49</f>
        <v>0</v>
      </c>
      <c r="X8" s="46">
        <f>W8/'Ф2-Г1'!$I$50*100</f>
        <v>0</v>
      </c>
      <c r="Y8" s="143">
        <f>'Ф2-Г1'!Q49</f>
        <v>0</v>
      </c>
      <c r="Z8" s="46">
        <f>Y8/'Ф2-Г1'!$I$50*100</f>
        <v>0</v>
      </c>
      <c r="AA8" s="143">
        <f>'Ф2-Г1'!R49</f>
        <v>0</v>
      </c>
      <c r="AB8" s="46">
        <f>AA8/'Ф2-Г1'!$I$50*100</f>
        <v>0</v>
      </c>
      <c r="AC8" s="143">
        <f>'Ф2-Г1'!S49</f>
        <v>0</v>
      </c>
      <c r="AD8" s="48">
        <f>AC8/'Ф2-Г1'!$I$50*100</f>
        <v>0</v>
      </c>
    </row>
    <row r="9" spans="1:30" ht="26.25" customHeight="1" thickBot="1" x14ac:dyDescent="0.25">
      <c r="A9" s="55" t="s">
        <v>50</v>
      </c>
      <c r="B9" s="78"/>
      <c r="C9" s="79"/>
      <c r="D9" s="37">
        <f>'Ф2-Г1'!I51</f>
        <v>0.83333333333333337</v>
      </c>
      <c r="E9" s="145">
        <f>D9</f>
        <v>0.83333333333333337</v>
      </c>
      <c r="F9" s="37">
        <f>'Ф2-Г1'!J51</f>
        <v>0.66666666666666663</v>
      </c>
      <c r="G9" s="145">
        <f>F9</f>
        <v>0.66666666666666663</v>
      </c>
      <c r="H9" s="37">
        <f>'Ф2-Г1'!K51</f>
        <v>0.77777777777777779</v>
      </c>
      <c r="I9" s="145">
        <f>H9</f>
        <v>0.77777777777777779</v>
      </c>
      <c r="J9" s="37">
        <f>'Ф2-Г1'!L51</f>
        <v>0.3888888888888889</v>
      </c>
      <c r="K9" s="145">
        <f>J9</f>
        <v>0.3888888888888889</v>
      </c>
      <c r="L9" s="37">
        <f>'Ф2-Г1'!M51</f>
        <v>0.72222222222222221</v>
      </c>
      <c r="M9" s="146">
        <f>L9</f>
        <v>0.72222222222222221</v>
      </c>
      <c r="N9" s="68"/>
      <c r="O9" s="68"/>
      <c r="P9" s="68"/>
      <c r="Q9" s="68"/>
      <c r="R9" s="68"/>
      <c r="S9" s="68"/>
      <c r="T9" s="55" t="s">
        <v>50</v>
      </c>
      <c r="U9" s="74">
        <f>'Ф2-Г1'!O51</f>
        <v>5.5555555555555552E-2</v>
      </c>
      <c r="V9" s="147">
        <f>U9</f>
        <v>5.5555555555555552E-2</v>
      </c>
      <c r="W9" s="47">
        <f>'Ф2-Г1'!O51</f>
        <v>5.5555555555555552E-2</v>
      </c>
      <c r="X9" s="147">
        <f>W9</f>
        <v>5.5555555555555552E-2</v>
      </c>
      <c r="Y9" s="47">
        <f>'Ф2-Г1'!Q51</f>
        <v>0.83333333333333337</v>
      </c>
      <c r="Z9" s="147">
        <f>Y9</f>
        <v>0.83333333333333337</v>
      </c>
      <c r="AA9" s="47">
        <f>'Ф2-Г1'!R51</f>
        <v>0.66666666666666663</v>
      </c>
      <c r="AB9" s="147">
        <f>AA9</f>
        <v>0.66666666666666663</v>
      </c>
      <c r="AC9" s="47">
        <f>'Ф2-Г1'!S51</f>
        <v>0.72222222222222221</v>
      </c>
      <c r="AD9" s="148">
        <f>AC9</f>
        <v>0.72222222222222221</v>
      </c>
    </row>
    <row r="10" spans="1:30" x14ac:dyDescent="0.2">
      <c r="A10" s="97"/>
      <c r="B10" s="97"/>
      <c r="C10" s="97"/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/>
      <c r="J10" s="10"/>
      <c r="K10" s="97"/>
      <c r="L10" s="97"/>
      <c r="M10" s="97"/>
      <c r="N10" s="97"/>
      <c r="T10" s="10">
        <v>7</v>
      </c>
      <c r="U10" s="10">
        <v>8</v>
      </c>
      <c r="V10" s="10">
        <v>9</v>
      </c>
      <c r="W10" s="10">
        <v>10</v>
      </c>
      <c r="X10" s="10">
        <v>11</v>
      </c>
      <c r="Y10" s="10"/>
      <c r="Z10" s="97"/>
      <c r="AA10" s="97"/>
      <c r="AB10" s="97"/>
      <c r="AC10" s="97"/>
      <c r="AD10" s="97"/>
    </row>
  </sheetData>
  <mergeCells count="16">
    <mergeCell ref="AA4:AB4"/>
    <mergeCell ref="AC4:AD4"/>
    <mergeCell ref="L4:M4"/>
    <mergeCell ref="U4:V4"/>
    <mergeCell ref="W4:X4"/>
    <mergeCell ref="Y4:Z4"/>
    <mergeCell ref="T3:T5"/>
    <mergeCell ref="U3:AD3"/>
    <mergeCell ref="A1:M1"/>
    <mergeCell ref="A3:A5"/>
    <mergeCell ref="B4:C4"/>
    <mergeCell ref="D4:E4"/>
    <mergeCell ref="F4:G4"/>
    <mergeCell ref="H4:I4"/>
    <mergeCell ref="J4:K4"/>
    <mergeCell ref="B3:M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Краткая инструкция</vt:lpstr>
      <vt:lpstr>Ф1-ОУ</vt:lpstr>
      <vt:lpstr>Ф2-ОУ</vt:lpstr>
      <vt:lpstr>Ф3-ОУ</vt:lpstr>
      <vt:lpstr>Ф4-ОУ</vt:lpstr>
      <vt:lpstr>Ф1-Г1</vt:lpstr>
      <vt:lpstr>Ф2-Г1</vt:lpstr>
      <vt:lpstr>Ф3-Г1</vt:lpstr>
      <vt:lpstr>Ф4-Г1</vt:lpstr>
      <vt:lpstr>Ф1-Г2</vt:lpstr>
      <vt:lpstr>Ф2-Г2</vt:lpstr>
      <vt:lpstr>Ф3-Г2</vt:lpstr>
      <vt:lpstr>Ф4-Г2</vt:lpstr>
      <vt:lpstr>Ф1-Г3</vt:lpstr>
      <vt:lpstr>Ф2-Г3</vt:lpstr>
      <vt:lpstr>Ф3-Г3</vt:lpstr>
      <vt:lpstr>Ф4-Г3</vt:lpstr>
      <vt:lpstr>Отчет МОУО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Григорьева_Т</dc:creator>
  <cp:lastModifiedBy>Пользователь</cp:lastModifiedBy>
  <cp:lastPrinted>2013-05-20T05:52:41Z</cp:lastPrinted>
  <dcterms:created xsi:type="dcterms:W3CDTF">2010-10-07T06:12:17Z</dcterms:created>
  <dcterms:modified xsi:type="dcterms:W3CDTF">2013-05-28T23:57:05Z</dcterms:modified>
</cp:coreProperties>
</file>